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F:\ARSAE\Contas Destinação Especifica\"/>
    </mc:Choice>
  </mc:AlternateContent>
  <xr:revisionPtr revIDLastSave="0" documentId="13_ncr:1_{2FCAC25C-E55D-479E-B4F3-3E6C53BB2FFF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TarifaSocial" sheetId="3" r:id="rId1"/>
    <sheet name="Mananciais" sheetId="7" r:id="rId2"/>
    <sheet name="Treinamento" sheetId="5" r:id="rId3"/>
    <sheet name="Manutenção" sheetId="9" r:id="rId4"/>
    <sheet name="Perdas" sheetId="8" r:id="rId5"/>
    <sheet name="InvestimentoIncentivado" sheetId="10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4" i="5" l="1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J76" i="3"/>
  <c r="AA74" i="10" l="1"/>
  <c r="AA73" i="10"/>
  <c r="F73" i="10"/>
  <c r="F74" i="10"/>
  <c r="G73" i="8"/>
  <c r="G74" i="8"/>
  <c r="J73" i="9"/>
  <c r="J74" i="9"/>
  <c r="F73" i="9"/>
  <c r="F74" i="9"/>
  <c r="F73" i="5"/>
  <c r="F74" i="5"/>
  <c r="K73" i="7" l="1"/>
  <c r="K74" i="7"/>
  <c r="F73" i="7"/>
  <c r="F74" i="7"/>
  <c r="G73" i="3"/>
  <c r="G74" i="3"/>
  <c r="I76" i="9" l="1"/>
  <c r="AA72" i="10"/>
  <c r="AA71" i="10"/>
  <c r="AA41" i="10"/>
  <c r="S76" i="10"/>
  <c r="F71" i="10" l="1"/>
  <c r="F72" i="10"/>
  <c r="G71" i="8"/>
  <c r="G72" i="8"/>
  <c r="J71" i="9"/>
  <c r="J72" i="9"/>
  <c r="F71" i="9"/>
  <c r="F72" i="9"/>
  <c r="F71" i="5"/>
  <c r="F72" i="5"/>
  <c r="K71" i="7" l="1"/>
  <c r="K72" i="7"/>
  <c r="F71" i="7"/>
  <c r="F72" i="7"/>
  <c r="G71" i="3"/>
  <c r="G72" i="3"/>
  <c r="AA70" i="10" l="1"/>
  <c r="F70" i="10"/>
  <c r="G70" i="8"/>
  <c r="J70" i="9"/>
  <c r="F70" i="9"/>
  <c r="F70" i="5"/>
  <c r="F70" i="7" l="1"/>
  <c r="K70" i="7"/>
  <c r="G70" i="3"/>
  <c r="AA69" i="10" l="1"/>
  <c r="AA68" i="10"/>
  <c r="F68" i="10"/>
  <c r="F69" i="10"/>
  <c r="G68" i="8"/>
  <c r="G69" i="8"/>
  <c r="J69" i="9"/>
  <c r="F69" i="9"/>
  <c r="J68" i="9"/>
  <c r="F68" i="9"/>
  <c r="F68" i="5"/>
  <c r="F69" i="5"/>
  <c r="K69" i="7"/>
  <c r="F69" i="7"/>
  <c r="K68" i="7"/>
  <c r="F68" i="7"/>
  <c r="G68" i="3"/>
  <c r="G69" i="3"/>
  <c r="AA67" i="10" l="1"/>
  <c r="F67" i="10"/>
  <c r="G67" i="8"/>
  <c r="J67" i="9"/>
  <c r="F67" i="9"/>
  <c r="F67" i="5"/>
  <c r="K67" i="7" l="1"/>
  <c r="F67" i="7"/>
  <c r="G67" i="3"/>
  <c r="K66" i="7" l="1"/>
  <c r="Y83" i="10"/>
  <c r="Y76" i="10"/>
  <c r="AA66" i="10"/>
  <c r="AA65" i="10" l="1"/>
  <c r="F65" i="10"/>
  <c r="F66" i="10"/>
  <c r="J65" i="9"/>
  <c r="J66" i="9"/>
  <c r="F65" i="9"/>
  <c r="F66" i="9"/>
  <c r="F65" i="5"/>
  <c r="F66" i="5"/>
  <c r="G65" i="3"/>
  <c r="G66" i="3"/>
  <c r="K65" i="7"/>
  <c r="F65" i="7"/>
  <c r="F66" i="7"/>
  <c r="G65" i="8"/>
  <c r="G66" i="8"/>
  <c r="G63" i="3" l="1"/>
  <c r="G61" i="3"/>
  <c r="G62" i="3"/>
  <c r="J77" i="8" l="1"/>
  <c r="J78" i="8" s="1"/>
  <c r="H76" i="8"/>
  <c r="E46" i="8"/>
  <c r="G82" i="7"/>
  <c r="G40" i="7"/>
  <c r="F62" i="7"/>
  <c r="C63" i="7"/>
  <c r="J15" i="9"/>
  <c r="J17" i="9"/>
  <c r="J18" i="9"/>
  <c r="J19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14" i="9"/>
  <c r="H46" i="9"/>
  <c r="J46" i="9" s="1"/>
  <c r="H20" i="9"/>
  <c r="J20" i="9" s="1"/>
  <c r="H16" i="9"/>
  <c r="J16" i="9" s="1"/>
  <c r="D46" i="9"/>
  <c r="D28" i="9"/>
  <c r="D27" i="9"/>
  <c r="G76" i="9"/>
  <c r="H76" i="9" l="1"/>
  <c r="J76" i="9"/>
  <c r="C76" i="5"/>
  <c r="E63" i="5"/>
  <c r="E46" i="5"/>
  <c r="E52" i="5"/>
  <c r="F76" i="3"/>
  <c r="AA64" i="10" l="1"/>
  <c r="I76" i="5"/>
  <c r="AA14" i="10" l="1"/>
  <c r="AA63" i="10"/>
  <c r="AA62" i="10"/>
  <c r="AA61" i="10"/>
  <c r="AA60" i="10"/>
  <c r="AA59" i="10"/>
  <c r="AA58" i="10"/>
  <c r="AA57" i="10"/>
  <c r="AA56" i="10"/>
  <c r="AA55" i="10"/>
  <c r="AA54" i="10"/>
  <c r="AA53" i="10"/>
  <c r="AA52" i="10"/>
  <c r="AA51" i="10"/>
  <c r="AA50" i="10"/>
  <c r="AA49" i="10"/>
  <c r="AA48" i="10"/>
  <c r="AA47" i="10"/>
  <c r="AA46" i="10"/>
  <c r="AA45" i="10"/>
  <c r="AA44" i="10"/>
  <c r="AA43" i="10"/>
  <c r="AA42" i="10"/>
  <c r="AA40" i="10"/>
  <c r="AA39" i="10"/>
  <c r="AA38" i="10"/>
  <c r="AA37" i="10"/>
  <c r="AA36" i="10"/>
  <c r="AA35" i="10"/>
  <c r="AA34" i="10"/>
  <c r="AA33" i="10"/>
  <c r="AA32" i="10"/>
  <c r="AA31" i="10"/>
  <c r="AA30" i="10"/>
  <c r="AA29" i="10"/>
  <c r="AA28" i="10"/>
  <c r="AA27" i="10"/>
  <c r="AA26" i="10"/>
  <c r="AA24" i="10"/>
  <c r="AA23" i="10"/>
  <c r="AA22" i="10"/>
  <c r="AA21" i="10"/>
  <c r="AA20" i="10"/>
  <c r="AA18" i="10"/>
  <c r="AA17" i="10"/>
  <c r="AA16" i="10"/>
  <c r="AA15" i="10"/>
  <c r="Z76" i="10"/>
  <c r="F64" i="8"/>
  <c r="G64" i="8" s="1"/>
  <c r="G15" i="8"/>
  <c r="G17" i="8"/>
  <c r="G18" i="8"/>
  <c r="G19" i="8"/>
  <c r="G20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14" i="8"/>
  <c r="K61" i="7"/>
  <c r="K62" i="7"/>
  <c r="K63" i="7"/>
  <c r="J64" i="7"/>
  <c r="K64" i="7" s="1"/>
  <c r="F64" i="10"/>
  <c r="F62" i="9"/>
  <c r="F63" i="9"/>
  <c r="F64" i="9"/>
  <c r="F62" i="5"/>
  <c r="F63" i="5"/>
  <c r="F64" i="5"/>
  <c r="F63" i="7"/>
  <c r="F64" i="7"/>
  <c r="G64" i="3"/>
  <c r="F76" i="8" l="1"/>
  <c r="W76" i="10"/>
  <c r="F61" i="5" l="1"/>
  <c r="F61" i="10"/>
  <c r="F62" i="10"/>
  <c r="F63" i="10"/>
  <c r="F61" i="9"/>
  <c r="F61" i="7"/>
  <c r="G60" i="3" l="1"/>
  <c r="G59" i="3"/>
  <c r="K59" i="7"/>
  <c r="K60" i="7"/>
  <c r="F59" i="7"/>
  <c r="F60" i="7"/>
  <c r="F59" i="5"/>
  <c r="F60" i="5"/>
  <c r="F60" i="9"/>
  <c r="F59" i="9"/>
  <c r="C60" i="10" l="1"/>
  <c r="F60" i="10" s="1"/>
  <c r="C59" i="10" l="1"/>
  <c r="F59" i="10" s="1"/>
  <c r="K58" i="7" l="1"/>
  <c r="G58" i="3" l="1"/>
  <c r="F58" i="7"/>
  <c r="F58" i="5"/>
  <c r="F58" i="9"/>
  <c r="C58" i="10" l="1"/>
  <c r="F58" i="10" s="1"/>
  <c r="X76" i="10" l="1"/>
  <c r="K57" i="7"/>
  <c r="C57" i="10"/>
  <c r="F57" i="10" s="1"/>
  <c r="F57" i="9"/>
  <c r="F57" i="5"/>
  <c r="F57" i="7"/>
  <c r="J76" i="7"/>
  <c r="I76" i="7"/>
  <c r="H76" i="7"/>
  <c r="D76" i="7"/>
  <c r="C76" i="7"/>
  <c r="M76" i="3"/>
  <c r="L76" i="3"/>
  <c r="K76" i="3"/>
  <c r="E76" i="3"/>
  <c r="D76" i="3"/>
  <c r="C76" i="3"/>
  <c r="G57" i="3"/>
  <c r="K56" i="7" l="1"/>
  <c r="F56" i="9" l="1"/>
  <c r="F56" i="5"/>
  <c r="F56" i="7"/>
  <c r="G56" i="3"/>
  <c r="C56" i="10" l="1"/>
  <c r="F56" i="10" s="1"/>
  <c r="F55" i="9" l="1"/>
  <c r="F55" i="5"/>
  <c r="K55" i="7"/>
  <c r="F55" i="7"/>
  <c r="G55" i="3"/>
  <c r="C55" i="10" l="1"/>
  <c r="F55" i="10" s="1"/>
  <c r="C54" i="10" l="1"/>
  <c r="F54" i="10" s="1"/>
  <c r="F54" i="9"/>
  <c r="F54" i="5"/>
  <c r="K54" i="7"/>
  <c r="F54" i="7"/>
  <c r="G54" i="3"/>
  <c r="L76" i="10" l="1"/>
  <c r="K53" i="7"/>
  <c r="C53" i="10" l="1"/>
  <c r="F53" i="10" s="1"/>
  <c r="F53" i="9"/>
  <c r="F53" i="5"/>
  <c r="F53" i="7"/>
  <c r="G53" i="3"/>
  <c r="K52" i="7" l="1"/>
  <c r="F52" i="9"/>
  <c r="F52" i="5"/>
  <c r="F52" i="7"/>
  <c r="G52" i="3"/>
  <c r="C52" i="10" l="1"/>
  <c r="F52" i="10" s="1"/>
  <c r="C51" i="10" l="1"/>
  <c r="F51" i="10" s="1"/>
  <c r="C50" i="10"/>
  <c r="F50" i="10" s="1"/>
  <c r="F51" i="9"/>
  <c r="F50" i="9"/>
  <c r="F51" i="5"/>
  <c r="F50" i="5"/>
  <c r="K51" i="7"/>
  <c r="K50" i="7"/>
  <c r="F51" i="7" l="1"/>
  <c r="F50" i="7"/>
  <c r="G51" i="3" l="1"/>
  <c r="G50" i="3"/>
  <c r="F48" i="5" l="1"/>
  <c r="F49" i="5"/>
  <c r="F47" i="5"/>
  <c r="G46" i="7"/>
  <c r="K46" i="7" s="1"/>
  <c r="K44" i="7"/>
  <c r="K45" i="7"/>
  <c r="K47" i="7"/>
  <c r="K48" i="7"/>
  <c r="K49" i="7"/>
  <c r="F48" i="7"/>
  <c r="F49" i="7"/>
  <c r="F49" i="9"/>
  <c r="F48" i="9"/>
  <c r="F47" i="9"/>
  <c r="F47" i="7"/>
  <c r="G47" i="3" l="1"/>
  <c r="G48" i="3"/>
  <c r="G49" i="3"/>
  <c r="C49" i="10"/>
  <c r="F49" i="10" s="1"/>
  <c r="C48" i="10"/>
  <c r="F48" i="10" s="1"/>
  <c r="C47" i="10"/>
  <c r="F47" i="10" s="1"/>
  <c r="V76" i="10" l="1"/>
  <c r="U76" i="10"/>
  <c r="F46" i="5" l="1"/>
  <c r="F45" i="5"/>
  <c r="F44" i="5"/>
  <c r="F46" i="9"/>
  <c r="F45" i="9"/>
  <c r="F44" i="9"/>
  <c r="C46" i="10"/>
  <c r="F46" i="10" s="1"/>
  <c r="C45" i="10"/>
  <c r="F45" i="10" s="1"/>
  <c r="C44" i="10"/>
  <c r="F44" i="10" s="1"/>
  <c r="F46" i="7"/>
  <c r="F45" i="7"/>
  <c r="F44" i="7"/>
  <c r="G46" i="3" l="1"/>
  <c r="G45" i="3"/>
  <c r="G44" i="3"/>
  <c r="G43" i="3"/>
  <c r="C43" i="10" l="1"/>
  <c r="F43" i="10" s="1"/>
  <c r="F43" i="9" l="1"/>
  <c r="F43" i="5"/>
  <c r="E76" i="5"/>
  <c r="K43" i="7"/>
  <c r="F43" i="7"/>
  <c r="C42" i="10" l="1"/>
  <c r="F42" i="10" s="1"/>
  <c r="F42" i="9"/>
  <c r="F42" i="5" l="1"/>
  <c r="K42" i="7"/>
  <c r="K41" i="7"/>
  <c r="F42" i="7"/>
  <c r="G42" i="3"/>
  <c r="C41" i="10" l="1"/>
  <c r="F41" i="10" s="1"/>
  <c r="F41" i="9"/>
  <c r="F41" i="5" l="1"/>
  <c r="F41" i="7"/>
  <c r="G41" i="3"/>
  <c r="C76" i="9" l="1"/>
  <c r="K40" i="7" l="1"/>
  <c r="F40" i="7"/>
  <c r="G40" i="3"/>
  <c r="F40" i="5"/>
  <c r="F40" i="9"/>
  <c r="C40" i="10" l="1"/>
  <c r="F40" i="10" s="1"/>
  <c r="E76" i="10" l="1"/>
  <c r="C39" i="10"/>
  <c r="F39" i="10" s="1"/>
  <c r="C38" i="10"/>
  <c r="F38" i="10" s="1"/>
  <c r="F39" i="9"/>
  <c r="F38" i="9"/>
  <c r="F39" i="5"/>
  <c r="F38" i="5"/>
  <c r="K39" i="7"/>
  <c r="K38" i="7"/>
  <c r="F38" i="7" l="1"/>
  <c r="E39" i="7"/>
  <c r="G39" i="3"/>
  <c r="G38" i="3"/>
  <c r="F39" i="7" l="1"/>
  <c r="E76" i="7"/>
  <c r="P76" i="10"/>
  <c r="T76" i="10"/>
  <c r="R76" i="10"/>
  <c r="Q76" i="10"/>
  <c r="O76" i="10"/>
  <c r="N76" i="10"/>
  <c r="M76" i="10"/>
  <c r="K76" i="10"/>
  <c r="J76" i="10"/>
  <c r="G76" i="10"/>
  <c r="K37" i="7" l="1"/>
  <c r="K36" i="7"/>
  <c r="K35" i="7"/>
  <c r="F37" i="7" l="1"/>
  <c r="F36" i="7"/>
  <c r="F37" i="9"/>
  <c r="F36" i="9"/>
  <c r="D36" i="10"/>
  <c r="C37" i="10"/>
  <c r="F37" i="10" s="1"/>
  <c r="C36" i="10"/>
  <c r="C35" i="10"/>
  <c r="F35" i="10" s="1"/>
  <c r="G37" i="3"/>
  <c r="G36" i="3"/>
  <c r="E76" i="8"/>
  <c r="C76" i="8"/>
  <c r="F37" i="5"/>
  <c r="F36" i="5"/>
  <c r="H76" i="5"/>
  <c r="F36" i="10" l="1"/>
  <c r="E35" i="9"/>
  <c r="F35" i="9" s="1"/>
  <c r="F35" i="5"/>
  <c r="F35" i="7" l="1"/>
  <c r="G35" i="3"/>
  <c r="F34" i="5" l="1"/>
  <c r="K34" i="7" l="1"/>
  <c r="K33" i="7"/>
  <c r="F34" i="9" l="1"/>
  <c r="F33" i="9"/>
  <c r="F33" i="5"/>
  <c r="F34" i="7"/>
  <c r="F33" i="7"/>
  <c r="G34" i="3"/>
  <c r="G33" i="3" l="1"/>
  <c r="C34" i="10" l="1"/>
  <c r="F34" i="10" s="1"/>
  <c r="C33" i="10"/>
  <c r="F33" i="10" s="1"/>
  <c r="G32" i="3" l="1"/>
  <c r="K32" i="7"/>
  <c r="F32" i="7"/>
  <c r="F32" i="5"/>
  <c r="F32" i="9" l="1"/>
  <c r="C32" i="10" l="1"/>
  <c r="F32" i="10" s="1"/>
  <c r="C31" i="10" l="1"/>
  <c r="F31" i="10" s="1"/>
  <c r="F31" i="9"/>
  <c r="F31" i="5"/>
  <c r="K31" i="7"/>
  <c r="F31" i="7"/>
  <c r="G31" i="3" l="1"/>
  <c r="G30" i="3" l="1"/>
  <c r="K30" i="7" l="1"/>
  <c r="K29" i="7"/>
  <c r="G29" i="3" l="1"/>
  <c r="F30" i="7"/>
  <c r="F29" i="7"/>
  <c r="F30" i="5"/>
  <c r="F29" i="5"/>
  <c r="E29" i="9"/>
  <c r="E30" i="9"/>
  <c r="F30" i="9" s="1"/>
  <c r="E76" i="9" l="1"/>
  <c r="F29" i="9"/>
  <c r="C30" i="10"/>
  <c r="F30" i="10" s="1"/>
  <c r="C29" i="10"/>
  <c r="F29" i="10" s="1"/>
  <c r="I25" i="10" l="1"/>
  <c r="AA25" i="10" s="1"/>
  <c r="I76" i="10" l="1"/>
  <c r="F27" i="9"/>
  <c r="F26" i="9"/>
  <c r="F25" i="9"/>
  <c r="F24" i="9"/>
  <c r="F23" i="9"/>
  <c r="F28" i="5"/>
  <c r="F27" i="5"/>
  <c r="F26" i="5"/>
  <c r="F25" i="5"/>
  <c r="F24" i="5"/>
  <c r="F23" i="5"/>
  <c r="K27" i="7"/>
  <c r="K26" i="7"/>
  <c r="K25" i="7"/>
  <c r="K24" i="7"/>
  <c r="K23" i="7"/>
  <c r="K22" i="7"/>
  <c r="K21" i="7"/>
  <c r="K20" i="7"/>
  <c r="K18" i="7"/>
  <c r="K17" i="7"/>
  <c r="K15" i="7"/>
  <c r="K14" i="7"/>
  <c r="F28" i="9" l="1"/>
  <c r="G28" i="7" l="1"/>
  <c r="K28" i="7" s="1"/>
  <c r="F28" i="7"/>
  <c r="F27" i="7"/>
  <c r="F26" i="7"/>
  <c r="F25" i="7"/>
  <c r="F24" i="7"/>
  <c r="F23" i="7"/>
  <c r="C28" i="10"/>
  <c r="F28" i="10" s="1"/>
  <c r="C27" i="10"/>
  <c r="F27" i="10" s="1"/>
  <c r="C26" i="10"/>
  <c r="F26" i="10" s="1"/>
  <c r="C25" i="10"/>
  <c r="F25" i="10" s="1"/>
  <c r="C24" i="10"/>
  <c r="F24" i="10" s="1"/>
  <c r="C23" i="10"/>
  <c r="F23" i="10" s="1"/>
  <c r="G28" i="3" l="1"/>
  <c r="G27" i="3"/>
  <c r="G26" i="3"/>
  <c r="G25" i="3"/>
  <c r="G24" i="3"/>
  <c r="G23" i="3"/>
  <c r="H19" i="10" l="1"/>
  <c r="AA19" i="10" s="1"/>
  <c r="AA76" i="10" s="1"/>
  <c r="C22" i="10"/>
  <c r="F22" i="10" s="1"/>
  <c r="D21" i="10"/>
  <c r="D20" i="10"/>
  <c r="D19" i="10"/>
  <c r="D18" i="10"/>
  <c r="D17" i="10"/>
  <c r="D16" i="10"/>
  <c r="C21" i="10"/>
  <c r="C20" i="10"/>
  <c r="C19" i="10"/>
  <c r="C18" i="10"/>
  <c r="C17" i="10"/>
  <c r="C16" i="10"/>
  <c r="C15" i="10"/>
  <c r="F15" i="10" s="1"/>
  <c r="C14" i="10"/>
  <c r="F22" i="9"/>
  <c r="F15" i="9"/>
  <c r="F14" i="9"/>
  <c r="D21" i="9"/>
  <c r="F21" i="9" s="1"/>
  <c r="D20" i="9"/>
  <c r="F20" i="9" s="1"/>
  <c r="D19" i="9"/>
  <c r="F19" i="9" s="1"/>
  <c r="D18" i="9"/>
  <c r="F18" i="9" s="1"/>
  <c r="D17" i="9"/>
  <c r="F17" i="9" s="1"/>
  <c r="D16" i="9"/>
  <c r="D21" i="8"/>
  <c r="G21" i="8" s="1"/>
  <c r="D16" i="8"/>
  <c r="D21" i="5"/>
  <c r="F21" i="5" s="1"/>
  <c r="D20" i="5"/>
  <c r="F20" i="5" s="1"/>
  <c r="D19" i="5"/>
  <c r="D18" i="5"/>
  <c r="F18" i="5" s="1"/>
  <c r="D17" i="5"/>
  <c r="F17" i="5" s="1"/>
  <c r="D16" i="5"/>
  <c r="G21" i="5"/>
  <c r="F22" i="5"/>
  <c r="F19" i="5"/>
  <c r="F15" i="5"/>
  <c r="F14" i="5"/>
  <c r="D76" i="8" l="1"/>
  <c r="G16" i="8"/>
  <c r="G76" i="8" s="1"/>
  <c r="G76" i="5"/>
  <c r="K76" i="5"/>
  <c r="F16" i="10"/>
  <c r="F20" i="10"/>
  <c r="F17" i="10"/>
  <c r="F21" i="10"/>
  <c r="F16" i="5"/>
  <c r="F76" i="5" s="1"/>
  <c r="D76" i="5"/>
  <c r="F19" i="10"/>
  <c r="D76" i="9"/>
  <c r="F14" i="10"/>
  <c r="C76" i="10"/>
  <c r="F18" i="10"/>
  <c r="D76" i="10"/>
  <c r="H76" i="10"/>
  <c r="F16" i="9"/>
  <c r="F76" i="9" s="1"/>
  <c r="G19" i="7"/>
  <c r="K19" i="7" s="1"/>
  <c r="G16" i="7"/>
  <c r="F22" i="7"/>
  <c r="F21" i="7"/>
  <c r="F20" i="7"/>
  <c r="F19" i="7"/>
  <c r="F18" i="7"/>
  <c r="F17" i="7"/>
  <c r="F16" i="7"/>
  <c r="F15" i="7"/>
  <c r="F14" i="7"/>
  <c r="G22" i="3"/>
  <c r="G21" i="3"/>
  <c r="G20" i="3"/>
  <c r="G19" i="3"/>
  <c r="G18" i="3"/>
  <c r="G17" i="3"/>
  <c r="G16" i="3"/>
  <c r="G15" i="3"/>
  <c r="G14" i="3"/>
  <c r="F76" i="7" l="1"/>
  <c r="F76" i="10"/>
  <c r="G76" i="7"/>
  <c r="G76" i="3"/>
  <c r="K16" i="7"/>
  <c r="K76" i="7" s="1"/>
  <c r="K78" i="7" l="1"/>
</calcChain>
</file>

<file path=xl/sharedStrings.xml><?xml version="1.0" encoding="utf-8"?>
<sst xmlns="http://schemas.openxmlformats.org/spreadsheetml/2006/main" count="178" uniqueCount="93">
  <si>
    <t>Investimento Incentivado</t>
  </si>
  <si>
    <t>Treinamento</t>
  </si>
  <si>
    <t>Manutenção</t>
  </si>
  <si>
    <t>Controle de Perdas</t>
  </si>
  <si>
    <t>Proteção Mananciais</t>
  </si>
  <si>
    <t>Tarifa Social</t>
  </si>
  <si>
    <t>Recursos Obtidos</t>
  </si>
  <si>
    <t>Inv 09 - Supervisão de Obras</t>
  </si>
  <si>
    <t xml:space="preserve">Inv 02 - PAC 2 - 3ª Etapa - Esgotamento Sanitário </t>
  </si>
  <si>
    <t xml:space="preserve">Inv 05 - Aquisição de Hidrômetros </t>
  </si>
  <si>
    <t xml:space="preserve">Inv 20 - Remodelação de Redes de Água </t>
  </si>
  <si>
    <t>Inv 21 -  Automação e Telemetria</t>
  </si>
  <si>
    <t>Inv 19 -  Remodelação e Separação de Redes de Esgoto</t>
  </si>
  <si>
    <t>Inv 28 - Melhorias Operacionais nos sistemas de Água e Esgoto</t>
  </si>
  <si>
    <t>Inv 14 - Ampliação da Capacidade de Reservação</t>
  </si>
  <si>
    <t>Destinação dos Recursos</t>
  </si>
  <si>
    <t>Treinamentos Comportamentais</t>
  </si>
  <si>
    <t>Treinamentos Técnicos</t>
  </si>
  <si>
    <t>Divulgação das informações pertinentes à Resolução ARSAE nº 79/2016 – 
Revisão Tarifária da Cesama</t>
  </si>
  <si>
    <t>Pagamento por Recursos Hídricos</t>
  </si>
  <si>
    <t>Projeto 
Dr. João Penido</t>
  </si>
  <si>
    <t>Projeto 
Rib. Espírito Santo</t>
  </si>
  <si>
    <t>Economias cadastradas</t>
  </si>
  <si>
    <t>Legenda colunas:</t>
  </si>
  <si>
    <t>Economias beneficiadas</t>
  </si>
  <si>
    <t>Inv 04 - Prog. de Despoluição do Rio Paraibuna e Afluentes (Reajuste)</t>
  </si>
  <si>
    <t xml:space="preserve">Inv 22 - Prog de Eficiência Energética (substituição de motores e equipamentos) </t>
  </si>
  <si>
    <t xml:space="preserve">Inv 17 - Construção de Reservatório de 6.000m³ </t>
  </si>
  <si>
    <t>Inv 16 - Implantação, Ampliação e Melhorias de Sistemas de Abastecimento</t>
  </si>
  <si>
    <t>Divulgação das informações pertinentes à Resolução ARSAE nº 79/2016 –
Revisão Tarifária da Cesama</t>
  </si>
  <si>
    <t>Divulgação das informações pertinentes à Resolução ARSAE nº 79/2016 –
 Revisão Tarifária da Cesama</t>
  </si>
  <si>
    <t>As economias cadastradas refletem as famílias habilitadas a receber o benefício no sistema comercial da Cesama.</t>
  </si>
  <si>
    <t>As economias beneficiadas são aquelas cadastradas e que não possuam mais de 2 faturas vencidas e não pagas (critério para perda temporária do benefício, conforme resolução Arsae nº 79/2016)</t>
  </si>
  <si>
    <t>Tarifas</t>
  </si>
  <si>
    <t>Rendimentos</t>
  </si>
  <si>
    <t>Totais</t>
  </si>
  <si>
    <t>Recursos Utilizados</t>
  </si>
  <si>
    <t>A compensação mensal autorizada é definida e revisada periodicamente pela Arsae-MG, em função da expectativa de concessão do benefício.</t>
  </si>
  <si>
    <t>Compensação Mensal (R$)</t>
  </si>
  <si>
    <t>Objeto de divulgação:</t>
  </si>
  <si>
    <t>Inicio:</t>
  </si>
  <si>
    <t>Descrição da Tarifa Social:</t>
  </si>
  <si>
    <t>A Tarifa Social é a adequação da cobrança segundo a capacidade de pagamento de usuários menos favorecidos, garantindo que as famílias com baixa renda tenham cobranças com preços reduzidos para água e esgoto, segundo critérios de enquadramento definidos em resolução específica. A destinação de parte do faturamento a uma conta vinculada, que poderá ser acessado somente de acordo com a análise do cadastramento de novos usuários beneficiários, foi uma medida adotada pela ARSAE como forma de garantir que o benefício seja concedido a todos os usuários necessitados.</t>
  </si>
  <si>
    <t>1º de abril de 2016</t>
  </si>
  <si>
    <t>Compensação adicional é autorizada periodicamente pela Agência.</t>
  </si>
  <si>
    <t>Compensação Mensal Autorizada  (R$)</t>
  </si>
  <si>
    <t>Compensação Periódica Autorizada</t>
  </si>
  <si>
    <t>Compensação Periódica</t>
  </si>
  <si>
    <t>Devolução tributos</t>
  </si>
  <si>
    <t>Proteção de Mananciais</t>
  </si>
  <si>
    <t>Descrição do Controle de Perdas:</t>
  </si>
  <si>
    <t>Descrição do Treinamento:</t>
  </si>
  <si>
    <t>Descrição da Proteção de Mananciais:</t>
  </si>
  <si>
    <t>Descrição da Manutenção:</t>
  </si>
  <si>
    <t>Invest Incent</t>
  </si>
  <si>
    <t>Descrição do Investimento Incentivado:</t>
  </si>
  <si>
    <t>Projeto Controle Perdas</t>
  </si>
  <si>
    <t>Os rendimentos apresentados nesta planilha são líquidos de IRRF.</t>
  </si>
  <si>
    <t>Os recursos obtidos são apresentados dividos entre os proporcionados pela tarifa, os oriundos do rendimento de aplicações da conta bancária vinculada ao Programa e valores provenientes da Devolução de Tributos.</t>
  </si>
  <si>
    <t>As devoluções de tributos referem-se à restituição do IRRF.</t>
  </si>
  <si>
    <t>As devoluções de tributos referem-se à restituição do IRRF e PIS/COFINS.</t>
  </si>
  <si>
    <t>Inv 03 - Prog. de Despoluição do Rio Paraibuna e Afluentes (Contrapartida)</t>
  </si>
  <si>
    <t>Inv 11 - Finalização da Obra de Ampliação da ETA Walfrido Machado Mendonça</t>
  </si>
  <si>
    <t>Outras Despesas Financiamentos</t>
  </si>
  <si>
    <t>Fábrica de Software - SQUADRA</t>
  </si>
  <si>
    <t>Veículos</t>
  </si>
  <si>
    <t>Aquisição der Estações de trabalho</t>
  </si>
  <si>
    <t>PDTI</t>
  </si>
  <si>
    <t>Despesas Financeiras</t>
  </si>
  <si>
    <t>ok</t>
  </si>
  <si>
    <t>Despesas bancarias</t>
  </si>
  <si>
    <t>Créditos PIS COFINS Pagos</t>
  </si>
  <si>
    <t>Despesas Bancarias</t>
  </si>
  <si>
    <t>Total Pago</t>
  </si>
  <si>
    <t>Inv 03</t>
  </si>
  <si>
    <t>Inv 04</t>
  </si>
  <si>
    <t>Inv 09</t>
  </si>
  <si>
    <t>Inv 02</t>
  </si>
  <si>
    <t>Inv 05</t>
  </si>
  <si>
    <t>Inv 20</t>
  </si>
  <si>
    <t>Inv 21</t>
  </si>
  <si>
    <t>Inv 19</t>
  </si>
  <si>
    <t>Inv 28</t>
  </si>
  <si>
    <t>Inv 22</t>
  </si>
  <si>
    <t>Inv 14</t>
  </si>
  <si>
    <t>Inv 17</t>
  </si>
  <si>
    <t>Inv 16</t>
  </si>
  <si>
    <t>Fábrica de Software</t>
  </si>
  <si>
    <t>Adutora São Pedro</t>
  </si>
  <si>
    <t>Aquisição de Estações de trabalho</t>
  </si>
  <si>
    <t>CP</t>
  </si>
  <si>
    <t>Reaj</t>
  </si>
  <si>
    <t>Compensação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</si>
</sst>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[$-416]mmm\-yy;@"/>
    <numFmt numFmtId="166" formatCode="_-* #,##0_-;\-* #,##0_-;_-* &quot;-&quot;??_-;_-@_-"/>
  </numFmts>
  <fonts count="13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 applyFill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165" fontId="2" fillId="2" borderId="1" xfId="0" applyNumberFormat="1" applyFont="1" applyFill="1" applyBorder="1" applyAlignment="1">
      <alignment horizontal="center" vertical="center" wrapText="1"/>
    </xf>
    <xf numFmtId="17" fontId="2" fillId="2" borderId="1" xfId="0" applyNumberFormat="1" applyFont="1" applyFill="1" applyBorder="1"/>
    <xf numFmtId="43" fontId="0" fillId="0" borderId="1" xfId="1" applyFont="1" applyBorder="1" applyAlignment="1">
      <alignment horizontal="center" vertical="center" wrapText="1"/>
    </xf>
    <xf numFmtId="166" fontId="0" fillId="0" borderId="1" xfId="1" applyNumberFormat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1" xfId="1" applyFont="1" applyBorder="1"/>
    <xf numFmtId="166" fontId="0" fillId="0" borderId="1" xfId="1" applyNumberFormat="1" applyFont="1" applyBorder="1"/>
    <xf numFmtId="0" fontId="0" fillId="0" borderId="0" xfId="0" applyFont="1" applyAlignment="1">
      <alignment vertical="top" wrapText="1"/>
    </xf>
    <xf numFmtId="165" fontId="5" fillId="3" borderId="1" xfId="0" applyNumberFormat="1" applyFont="1" applyFill="1" applyBorder="1" applyAlignment="1">
      <alignment horizontal="center" vertical="center" wrapText="1"/>
    </xf>
    <xf numFmtId="17" fontId="2" fillId="2" borderId="1" xfId="3" applyNumberFormat="1" applyFont="1" applyFill="1" applyBorder="1" applyAlignment="1">
      <alignment horizontal="center"/>
    </xf>
    <xf numFmtId="164" fontId="0" fillId="4" borderId="1" xfId="2" applyFont="1" applyFill="1" applyBorder="1" applyAlignment="1">
      <alignment vertical="center"/>
    </xf>
    <xf numFmtId="0" fontId="7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0" applyFont="1" applyAlignme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9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66" fontId="0" fillId="0" borderId="1" xfId="0" applyNumberFormat="1" applyFill="1" applyBorder="1" applyAlignment="1">
      <alignment horizontal="center" vertical="center"/>
    </xf>
    <xf numFmtId="43" fontId="0" fillId="0" borderId="0" xfId="1" applyFont="1"/>
    <xf numFmtId="43" fontId="7" fillId="0" borderId="0" xfId="1" applyFont="1" applyAlignment="1">
      <alignment vertical="center"/>
    </xf>
    <xf numFmtId="43" fontId="7" fillId="0" borderId="0" xfId="1" applyFont="1" applyAlignment="1">
      <alignment horizontal="left" vertical="center"/>
    </xf>
    <xf numFmtId="43" fontId="0" fillId="0" borderId="0" xfId="1" applyFont="1" applyAlignment="1">
      <alignment horizontal="center" vertical="center"/>
    </xf>
    <xf numFmtId="43" fontId="7" fillId="0" borderId="0" xfId="1" applyFont="1" applyAlignment="1"/>
    <xf numFmtId="43" fontId="0" fillId="0" borderId="0" xfId="1" applyFont="1" applyAlignment="1">
      <alignment wrapText="1"/>
    </xf>
    <xf numFmtId="164" fontId="0" fillId="0" borderId="0" xfId="0" applyNumberFormat="1"/>
    <xf numFmtId="0" fontId="0" fillId="0" borderId="0" xfId="0" quotePrefix="1"/>
    <xf numFmtId="164" fontId="0" fillId="0" borderId="0" xfId="0" applyNumberFormat="1" applyAlignment="1">
      <alignment wrapText="1"/>
    </xf>
    <xf numFmtId="165" fontId="2" fillId="2" borderId="9" xfId="0" applyNumberFormat="1" applyFont="1" applyFill="1" applyBorder="1" applyAlignment="1">
      <alignment horizontal="center" vertical="center" wrapText="1"/>
    </xf>
    <xf numFmtId="43" fontId="0" fillId="0" borderId="1" xfId="1" applyFont="1" applyBorder="1" applyAlignment="1">
      <alignment horizontal="center"/>
    </xf>
    <xf numFmtId="43" fontId="0" fillId="0" borderId="0" xfId="0" applyNumberFormat="1"/>
    <xf numFmtId="4" fontId="0" fillId="0" borderId="0" xfId="0" applyNumberFormat="1"/>
    <xf numFmtId="43" fontId="0" fillId="0" borderId="12" xfId="1" applyFont="1" applyFill="1" applyBorder="1"/>
    <xf numFmtId="0" fontId="0" fillId="0" borderId="0" xfId="0" applyBorder="1"/>
    <xf numFmtId="0" fontId="0" fillId="0" borderId="0" xfId="0" applyFill="1"/>
    <xf numFmtId="3" fontId="0" fillId="0" borderId="0" xfId="0" applyNumberFormat="1"/>
    <xf numFmtId="164" fontId="11" fillId="4" borderId="1" xfId="2" applyFont="1" applyFill="1" applyBorder="1" applyAlignment="1">
      <alignment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Font="1"/>
    <xf numFmtId="165" fontId="0" fillId="0" borderId="0" xfId="0" applyNumberFormat="1" applyAlignment="1">
      <alignment horizontal="center"/>
    </xf>
    <xf numFmtId="165" fontId="0" fillId="0" borderId="0" xfId="0" applyNumberFormat="1" applyFont="1" applyAlignment="1">
      <alignment horizontal="center"/>
    </xf>
    <xf numFmtId="43" fontId="0" fillId="0" borderId="0" xfId="0" applyNumberFormat="1" applyBorder="1"/>
    <xf numFmtId="43" fontId="11" fillId="0" borderId="1" xfId="1" applyFont="1" applyBorder="1"/>
    <xf numFmtId="43" fontId="11" fillId="0" borderId="1" xfId="1" applyFont="1" applyFill="1" applyBorder="1"/>
    <xf numFmtId="0" fontId="11" fillId="0" borderId="0" xfId="0" applyFont="1"/>
    <xf numFmtId="43" fontId="11" fillId="0" borderId="0" xfId="0" applyNumberFormat="1" applyFont="1" applyBorder="1"/>
    <xf numFmtId="0" fontId="7" fillId="0" borderId="0" xfId="0" applyFont="1" applyFill="1"/>
    <xf numFmtId="165" fontId="5" fillId="0" borderId="1" xfId="0" applyNumberFormat="1" applyFont="1" applyFill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horizontal="center" vertical="center"/>
    </xf>
    <xf numFmtId="164" fontId="0" fillId="0" borderId="1" xfId="2" applyFont="1" applyFill="1" applyBorder="1" applyAlignment="1">
      <alignment vertical="center"/>
    </xf>
    <xf numFmtId="164" fontId="0" fillId="0" borderId="0" xfId="0" applyNumberFormat="1" applyFill="1"/>
    <xf numFmtId="43" fontId="0" fillId="0" borderId="0" xfId="1" applyFont="1" applyFill="1"/>
    <xf numFmtId="165" fontId="0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43" fontId="12" fillId="0" borderId="1" xfId="1" applyFont="1" applyFill="1" applyBorder="1"/>
    <xf numFmtId="0" fontId="7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0" xfId="0" applyNumberFormat="1" applyFont="1" applyFill="1" applyBorder="1" applyAlignment="1">
      <alignment horizontal="center" vertical="center" wrapText="1"/>
    </xf>
    <xf numFmtId="165" fontId="2" fillId="2" borderId="11" xfId="0" applyNumberFormat="1" applyFont="1" applyFill="1" applyBorder="1" applyAlignment="1">
      <alignment horizontal="center" vertical="center" wrapText="1"/>
    </xf>
    <xf numFmtId="165" fontId="2" fillId="2" borderId="12" xfId="3" applyNumberFormat="1" applyFont="1" applyFill="1" applyBorder="1" applyAlignment="1">
      <alignment horizontal="center" vertical="center" wrapText="1"/>
    </xf>
    <xf numFmtId="165" fontId="2" fillId="2" borderId="9" xfId="3" applyNumberFormat="1" applyFont="1" applyFill="1" applyBorder="1" applyAlignment="1">
      <alignment horizontal="center" vertical="center" wrapText="1"/>
    </xf>
    <xf numFmtId="165" fontId="2" fillId="2" borderId="0" xfId="3" applyNumberFormat="1" applyFont="1" applyFill="1" applyBorder="1" applyAlignment="1">
      <alignment horizontal="center" vertical="center" wrapText="1"/>
    </xf>
    <xf numFmtId="165" fontId="2" fillId="2" borderId="2" xfId="3" applyNumberFormat="1" applyFont="1" applyFill="1" applyBorder="1" applyAlignment="1">
      <alignment horizontal="center"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165" fontId="2" fillId="2" borderId="7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165" fontId="2" fillId="2" borderId="8" xfId="0" applyNumberFormat="1" applyFont="1" applyFill="1" applyBorder="1" applyAlignment="1">
      <alignment horizontal="center" vertical="center" wrapText="1"/>
    </xf>
    <xf numFmtId="165" fontId="2" fillId="2" borderId="9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</cellXfs>
  <cellStyles count="5">
    <cellStyle name="Moeda" xfId="2" builtinId="4"/>
    <cellStyle name="Normal" xfId="0" builtinId="0"/>
    <cellStyle name="Normal 2" xfId="3" xr:uid="{00000000-0005-0000-0000-000002000000}"/>
    <cellStyle name="Vírgula" xfId="1" builtinId="3"/>
    <cellStyle name="Vírgula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85"/>
  <sheetViews>
    <sheetView showGridLines="0" tabSelected="1" topLeftCell="A40" zoomScaleNormal="100" workbookViewId="0">
      <selection activeCell="C70" sqref="C70:C74"/>
    </sheetView>
  </sheetViews>
  <sheetFormatPr defaultColWidth="8.6640625" defaultRowHeight="11.25" x14ac:dyDescent="0.2"/>
  <cols>
    <col min="1" max="1" width="2.6640625" customWidth="1"/>
    <col min="2" max="2" width="15.6640625" customWidth="1"/>
    <col min="3" max="3" width="16.6640625" bestFit="1" customWidth="1"/>
    <col min="4" max="6" width="15.6640625" customWidth="1"/>
    <col min="7" max="7" width="16.6640625" customWidth="1"/>
    <col min="8" max="8" width="14.33203125" customWidth="1"/>
    <col min="9" max="9" width="14.6640625" customWidth="1"/>
    <col min="10" max="12" width="20.6640625" customWidth="1"/>
    <col min="13" max="13" width="18.5" customWidth="1"/>
    <col min="14" max="14" width="5" customWidth="1"/>
    <col min="15" max="15" width="33.5" style="32" customWidth="1"/>
    <col min="16" max="16" width="9.6640625" customWidth="1"/>
    <col min="17" max="17" width="8.6640625" customWidth="1"/>
  </cols>
  <sheetData>
    <row r="1" spans="2:15" ht="10.15" x14ac:dyDescent="0.2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2"/>
    </row>
    <row r="2" spans="2:15" ht="15" customHeight="1" x14ac:dyDescent="0.2">
      <c r="B2" s="71" t="s">
        <v>18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2:15" ht="15" customHeight="1" x14ac:dyDescent="0.2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2:15" ht="15" customHeight="1" x14ac:dyDescent="0.2"/>
    <row r="5" spans="2:15" s="15" customFormat="1" ht="19.899999999999999" customHeight="1" x14ac:dyDescent="0.25">
      <c r="B5" s="21" t="s">
        <v>39</v>
      </c>
      <c r="C5" s="21"/>
      <c r="D5" s="21"/>
      <c r="E5" s="21"/>
      <c r="F5" s="21"/>
      <c r="G5" s="22" t="s">
        <v>5</v>
      </c>
      <c r="H5" s="22"/>
      <c r="I5" s="22"/>
      <c r="J5" s="22"/>
      <c r="K5" s="22"/>
      <c r="L5" s="22"/>
      <c r="M5" s="22"/>
      <c r="N5" s="22"/>
      <c r="O5" s="33"/>
    </row>
    <row r="6" spans="2:15" s="15" customFormat="1" ht="6" customHeight="1" x14ac:dyDescent="0.3">
      <c r="B6" s="16"/>
      <c r="C6" s="16"/>
      <c r="D6" s="16"/>
      <c r="E6" s="16"/>
      <c r="F6" s="16"/>
      <c r="G6" s="17"/>
      <c r="H6" s="17"/>
      <c r="I6" s="17"/>
      <c r="J6" s="17"/>
      <c r="K6" s="17"/>
      <c r="L6" s="17"/>
      <c r="M6" s="17"/>
      <c r="N6" s="17"/>
      <c r="O6" s="34"/>
    </row>
    <row r="7" spans="2:15" s="15" customFormat="1" ht="19.899999999999999" customHeight="1" x14ac:dyDescent="0.25">
      <c r="B7" s="21" t="s">
        <v>40</v>
      </c>
      <c r="C7" s="21"/>
      <c r="D7" s="21"/>
      <c r="E7" s="21"/>
      <c r="F7" s="21"/>
      <c r="G7" s="22" t="s">
        <v>43</v>
      </c>
      <c r="H7" s="22"/>
      <c r="I7" s="22"/>
      <c r="J7" s="22"/>
      <c r="K7" s="22"/>
      <c r="L7" s="22"/>
      <c r="M7" s="22"/>
      <c r="N7" s="22"/>
      <c r="O7" s="33"/>
    </row>
    <row r="8" spans="2:15" ht="6" customHeight="1" x14ac:dyDescent="0.2">
      <c r="B8" s="23"/>
      <c r="C8" s="23"/>
      <c r="D8" s="23"/>
      <c r="E8" s="23"/>
      <c r="F8" s="23"/>
      <c r="G8" s="18"/>
      <c r="H8" s="18"/>
      <c r="I8" s="18"/>
      <c r="J8" s="18"/>
      <c r="K8" s="18"/>
      <c r="L8" s="18"/>
      <c r="M8" s="18"/>
      <c r="N8" s="18"/>
      <c r="O8" s="35"/>
    </row>
    <row r="9" spans="2:15" ht="15.75" x14ac:dyDescent="0.25">
      <c r="B9" s="24" t="s">
        <v>41</v>
      </c>
      <c r="C9" s="24"/>
      <c r="D9" s="24"/>
      <c r="E9" s="24"/>
      <c r="F9" s="24"/>
      <c r="G9" s="24"/>
      <c r="H9" s="24"/>
    </row>
    <row r="10" spans="2:15" ht="10.15" customHeight="1" x14ac:dyDescent="0.3">
      <c r="B10" s="19"/>
      <c r="C10" s="19"/>
      <c r="D10" s="19"/>
      <c r="E10" s="19"/>
      <c r="F10" s="19"/>
      <c r="G10" s="19"/>
      <c r="H10" s="19"/>
    </row>
    <row r="11" spans="2:15" ht="75" customHeight="1" x14ac:dyDescent="0.25">
      <c r="B11" s="70" t="s">
        <v>42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20"/>
      <c r="O11" s="36"/>
    </row>
    <row r="12" spans="2:15" s="3" customFormat="1" ht="30" customHeight="1" x14ac:dyDescent="0.2">
      <c r="B12" s="74" t="s">
        <v>5</v>
      </c>
      <c r="C12" s="73" t="s">
        <v>6</v>
      </c>
      <c r="D12" s="73"/>
      <c r="E12" s="73"/>
      <c r="F12" s="73"/>
      <c r="G12" s="73"/>
      <c r="H12" s="74" t="s">
        <v>22</v>
      </c>
      <c r="I12" s="74" t="s">
        <v>24</v>
      </c>
      <c r="J12" s="76" t="s">
        <v>45</v>
      </c>
      <c r="K12" s="76" t="s">
        <v>38</v>
      </c>
      <c r="L12" s="78" t="s">
        <v>46</v>
      </c>
      <c r="M12" s="78" t="s">
        <v>47</v>
      </c>
      <c r="O12" s="37"/>
    </row>
    <row r="13" spans="2:15" s="3" customFormat="1" ht="30" x14ac:dyDescent="0.2">
      <c r="B13" s="75"/>
      <c r="C13" s="4" t="s">
        <v>33</v>
      </c>
      <c r="D13" s="4" t="s">
        <v>34</v>
      </c>
      <c r="E13" s="28" t="s">
        <v>48</v>
      </c>
      <c r="F13" s="51" t="s">
        <v>70</v>
      </c>
      <c r="G13" s="4" t="s">
        <v>35</v>
      </c>
      <c r="H13" s="75"/>
      <c r="I13" s="75"/>
      <c r="J13" s="77"/>
      <c r="K13" s="77"/>
      <c r="L13" s="79"/>
      <c r="M13" s="79"/>
      <c r="O13" s="37"/>
    </row>
    <row r="14" spans="2:15" ht="14.45" x14ac:dyDescent="0.3">
      <c r="B14" s="5">
        <v>42490</v>
      </c>
      <c r="C14" s="6">
        <v>395503.6</v>
      </c>
      <c r="D14" s="6">
        <v>0</v>
      </c>
      <c r="E14" s="6">
        <v>0</v>
      </c>
      <c r="F14" s="6"/>
      <c r="G14" s="6">
        <f>C14+D14-E14</f>
        <v>395503.6</v>
      </c>
      <c r="H14" s="7">
        <v>218</v>
      </c>
      <c r="I14" s="31">
        <v>218</v>
      </c>
      <c r="J14" s="8">
        <v>61698.477359999997</v>
      </c>
      <c r="K14" s="6"/>
      <c r="L14" s="8"/>
      <c r="M14" s="8"/>
    </row>
    <row r="15" spans="2:15" ht="14.45" x14ac:dyDescent="0.3">
      <c r="B15" s="5">
        <v>42521</v>
      </c>
      <c r="C15" s="6">
        <v>396862.14</v>
      </c>
      <c r="D15" s="6">
        <v>0</v>
      </c>
      <c r="E15" s="6">
        <v>0</v>
      </c>
      <c r="F15" s="6"/>
      <c r="G15" s="6">
        <f t="shared" ref="G15:G29" si="0">C15+D15-E15</f>
        <v>396862.14</v>
      </c>
      <c r="H15" s="7">
        <v>3200</v>
      </c>
      <c r="I15" s="31">
        <v>3168</v>
      </c>
      <c r="J15" s="8">
        <v>61910.493840000003</v>
      </c>
      <c r="K15" s="6"/>
      <c r="L15" s="8"/>
      <c r="M15" s="8"/>
    </row>
    <row r="16" spans="2:15" ht="14.45" x14ac:dyDescent="0.3">
      <c r="B16" s="5">
        <v>42551</v>
      </c>
      <c r="C16" s="6">
        <v>371859.83</v>
      </c>
      <c r="D16" s="6">
        <v>4083.12</v>
      </c>
      <c r="E16" s="6">
        <v>0.02</v>
      </c>
      <c r="F16" s="6"/>
      <c r="G16" s="6">
        <f t="shared" si="0"/>
        <v>375942.93</v>
      </c>
      <c r="H16" s="7">
        <v>3210</v>
      </c>
      <c r="I16" s="31">
        <v>3164</v>
      </c>
      <c r="J16" s="8">
        <v>58010.133480000004</v>
      </c>
      <c r="K16" s="6"/>
      <c r="L16" s="8"/>
      <c r="M16" s="8"/>
    </row>
    <row r="17" spans="2:13" ht="14.45" x14ac:dyDescent="0.3">
      <c r="B17" s="5">
        <v>42582</v>
      </c>
      <c r="C17" s="6">
        <v>365349.21</v>
      </c>
      <c r="D17" s="6">
        <v>7873.81</v>
      </c>
      <c r="E17" s="6">
        <v>0</v>
      </c>
      <c r="F17" s="6"/>
      <c r="G17" s="6">
        <f t="shared" si="0"/>
        <v>373223.02</v>
      </c>
      <c r="H17" s="7">
        <v>3250</v>
      </c>
      <c r="I17" s="31">
        <v>3204</v>
      </c>
      <c r="J17" s="8">
        <v>56994.476760000005</v>
      </c>
      <c r="K17" s="6"/>
      <c r="L17" s="8"/>
      <c r="M17" s="8"/>
    </row>
    <row r="18" spans="2:13" ht="14.45" x14ac:dyDescent="0.3">
      <c r="B18" s="5">
        <v>42613</v>
      </c>
      <c r="C18" s="6">
        <v>370433.05</v>
      </c>
      <c r="D18" s="6">
        <v>12582.94</v>
      </c>
      <c r="E18" s="6">
        <v>0</v>
      </c>
      <c r="F18" s="6"/>
      <c r="G18" s="6">
        <f t="shared" si="0"/>
        <v>383015.99</v>
      </c>
      <c r="H18" s="7">
        <v>3224</v>
      </c>
      <c r="I18" s="31">
        <v>3176</v>
      </c>
      <c r="J18" s="8">
        <v>57787.555799999995</v>
      </c>
      <c r="K18" s="6"/>
      <c r="L18" s="8"/>
      <c r="M18" s="8"/>
    </row>
    <row r="19" spans="2:13" ht="14.45" x14ac:dyDescent="0.3">
      <c r="B19" s="5">
        <v>42643</v>
      </c>
      <c r="C19" s="6">
        <v>384009.79</v>
      </c>
      <c r="D19" s="6">
        <v>15138.28</v>
      </c>
      <c r="E19" s="6">
        <v>0</v>
      </c>
      <c r="F19" s="6"/>
      <c r="G19" s="6">
        <f t="shared" si="0"/>
        <v>399148.07</v>
      </c>
      <c r="H19" s="7">
        <v>3232</v>
      </c>
      <c r="I19" s="31">
        <v>3185</v>
      </c>
      <c r="J19" s="8">
        <v>34560.879999999997</v>
      </c>
      <c r="K19" s="6"/>
      <c r="L19" s="8"/>
      <c r="M19" s="8"/>
    </row>
    <row r="20" spans="2:13" ht="14.45" x14ac:dyDescent="0.3">
      <c r="B20" s="5">
        <v>42674</v>
      </c>
      <c r="C20" s="8">
        <v>374436.09</v>
      </c>
      <c r="D20" s="8">
        <v>18002.71</v>
      </c>
      <c r="E20" s="8">
        <v>2151.6999999999998</v>
      </c>
      <c r="F20" s="8"/>
      <c r="G20" s="6">
        <f t="shared" si="0"/>
        <v>390287.10000000003</v>
      </c>
      <c r="H20" s="7">
        <v>3293</v>
      </c>
      <c r="I20" s="31">
        <v>3182</v>
      </c>
      <c r="J20" s="8">
        <v>33699.25</v>
      </c>
      <c r="K20" s="6">
        <v>195105.23</v>
      </c>
      <c r="L20" s="8"/>
      <c r="M20" s="8"/>
    </row>
    <row r="21" spans="2:13" ht="14.45" x14ac:dyDescent="0.3">
      <c r="B21" s="5">
        <v>42704</v>
      </c>
      <c r="C21" s="6">
        <v>375744.96</v>
      </c>
      <c r="D21" s="9">
        <v>19919.13</v>
      </c>
      <c r="E21" s="9">
        <v>10205.450000000001</v>
      </c>
      <c r="F21" s="9"/>
      <c r="G21" s="6">
        <f t="shared" si="0"/>
        <v>385458.64</v>
      </c>
      <c r="H21" s="7">
        <v>3321</v>
      </c>
      <c r="I21" s="31">
        <v>3328</v>
      </c>
      <c r="J21" s="8">
        <v>33817.050000000003</v>
      </c>
      <c r="K21" s="6"/>
      <c r="L21" s="8"/>
      <c r="M21" s="9"/>
    </row>
    <row r="22" spans="2:13" ht="14.45" x14ac:dyDescent="0.3">
      <c r="B22" s="5">
        <v>42735</v>
      </c>
      <c r="C22" s="9">
        <v>383193.86</v>
      </c>
      <c r="D22" s="9">
        <v>25327.53</v>
      </c>
      <c r="E22" s="9">
        <v>0</v>
      </c>
      <c r="F22" s="9"/>
      <c r="G22" s="6">
        <f t="shared" si="0"/>
        <v>408521.39</v>
      </c>
      <c r="H22" s="10">
        <v>3338</v>
      </c>
      <c r="I22" s="31">
        <v>3170</v>
      </c>
      <c r="J22" s="8">
        <v>34487.449999999997</v>
      </c>
      <c r="K22" s="8">
        <v>112657.52</v>
      </c>
      <c r="L22" s="8"/>
      <c r="M22" s="9"/>
    </row>
    <row r="23" spans="2:13" ht="14.45" x14ac:dyDescent="0.3">
      <c r="B23" s="5">
        <v>42766</v>
      </c>
      <c r="C23" s="9">
        <v>418162.15</v>
      </c>
      <c r="D23" s="9">
        <v>28046.54</v>
      </c>
      <c r="E23" s="9">
        <v>0</v>
      </c>
      <c r="F23" s="9"/>
      <c r="G23" s="6">
        <f t="shared" si="0"/>
        <v>446208.69</v>
      </c>
      <c r="H23" s="10">
        <v>3342</v>
      </c>
      <c r="I23" s="31">
        <v>3214</v>
      </c>
      <c r="J23" s="8">
        <v>37634.589999999997</v>
      </c>
      <c r="K23" s="8"/>
      <c r="L23" s="8"/>
      <c r="M23" s="9"/>
    </row>
    <row r="24" spans="2:13" ht="14.45" x14ac:dyDescent="0.3">
      <c r="B24" s="5">
        <v>42794</v>
      </c>
      <c r="C24" s="9">
        <v>392180.51</v>
      </c>
      <c r="D24" s="9">
        <v>24917.29</v>
      </c>
      <c r="E24" s="9">
        <v>0</v>
      </c>
      <c r="F24" s="9"/>
      <c r="G24" s="6">
        <f t="shared" si="0"/>
        <v>417097.8</v>
      </c>
      <c r="H24" s="10">
        <v>3388</v>
      </c>
      <c r="I24" s="31">
        <v>3278</v>
      </c>
      <c r="J24" s="8">
        <v>35296.25</v>
      </c>
      <c r="K24" s="8"/>
      <c r="L24" s="8"/>
      <c r="M24" s="9"/>
    </row>
    <row r="25" spans="2:13" ht="14.45" x14ac:dyDescent="0.3">
      <c r="B25" s="5">
        <v>42825</v>
      </c>
      <c r="C25" s="9">
        <v>400716.27</v>
      </c>
      <c r="D25" s="9">
        <v>33848.51</v>
      </c>
      <c r="E25" s="9">
        <v>0</v>
      </c>
      <c r="F25" s="9"/>
      <c r="G25" s="6">
        <f t="shared" si="0"/>
        <v>434564.78</v>
      </c>
      <c r="H25" s="10">
        <v>3763</v>
      </c>
      <c r="I25" s="31">
        <v>3556</v>
      </c>
      <c r="J25" s="8">
        <v>36064.46</v>
      </c>
      <c r="K25" s="8"/>
      <c r="L25" s="8"/>
      <c r="M25" s="9"/>
    </row>
    <row r="26" spans="2:13" ht="14.45" x14ac:dyDescent="0.3">
      <c r="B26" s="5">
        <v>42855</v>
      </c>
      <c r="C26" s="9">
        <v>410351.25</v>
      </c>
      <c r="D26" s="9">
        <v>28128.44</v>
      </c>
      <c r="E26" s="9">
        <v>2661.37</v>
      </c>
      <c r="F26" s="9"/>
      <c r="G26" s="6">
        <f t="shared" si="0"/>
        <v>435818.32</v>
      </c>
      <c r="H26" s="10">
        <v>4257</v>
      </c>
      <c r="I26" s="31">
        <v>4107</v>
      </c>
      <c r="J26" s="8">
        <v>36931.61</v>
      </c>
      <c r="K26" s="8">
        <v>236752.03</v>
      </c>
      <c r="L26" s="8"/>
      <c r="M26" s="9"/>
    </row>
    <row r="27" spans="2:13" ht="14.45" x14ac:dyDescent="0.3">
      <c r="B27" s="5">
        <v>42886</v>
      </c>
      <c r="C27" s="9">
        <v>384633.24</v>
      </c>
      <c r="D27" s="9">
        <v>34778.839999999997</v>
      </c>
      <c r="E27" s="9">
        <v>24753.68</v>
      </c>
      <c r="F27" s="9"/>
      <c r="G27" s="6">
        <f t="shared" si="0"/>
        <v>394658.39999999997</v>
      </c>
      <c r="H27" s="10">
        <v>4227</v>
      </c>
      <c r="I27" s="31">
        <v>4104</v>
      </c>
      <c r="J27" s="8">
        <v>34161.99</v>
      </c>
      <c r="K27" s="8"/>
      <c r="L27" s="8"/>
      <c r="M27" s="9"/>
    </row>
    <row r="28" spans="2:13" ht="14.45" x14ac:dyDescent="0.3">
      <c r="B28" s="5">
        <v>42916</v>
      </c>
      <c r="C28" s="9">
        <v>397130.27</v>
      </c>
      <c r="D28" s="9">
        <v>33707.29</v>
      </c>
      <c r="E28" s="9">
        <v>0</v>
      </c>
      <c r="F28" s="9"/>
      <c r="G28" s="6">
        <f t="shared" si="0"/>
        <v>430837.56</v>
      </c>
      <c r="H28" s="10">
        <v>4220</v>
      </c>
      <c r="I28" s="31">
        <v>3971</v>
      </c>
      <c r="J28" s="8">
        <v>35741.72</v>
      </c>
      <c r="K28" s="8"/>
      <c r="L28" s="8"/>
      <c r="M28" s="9"/>
    </row>
    <row r="29" spans="2:13" ht="14.45" x14ac:dyDescent="0.3">
      <c r="B29" s="5">
        <v>42947</v>
      </c>
      <c r="C29" s="9">
        <v>400284.2</v>
      </c>
      <c r="D29" s="9">
        <v>34778.94</v>
      </c>
      <c r="E29" s="9">
        <v>206.43</v>
      </c>
      <c r="F29" s="9"/>
      <c r="G29" s="6">
        <f t="shared" si="0"/>
        <v>434856.71</v>
      </c>
      <c r="H29" s="10">
        <v>4223</v>
      </c>
      <c r="I29" s="31">
        <v>4067</v>
      </c>
      <c r="J29" s="8">
        <v>36025.58</v>
      </c>
      <c r="K29" s="8">
        <v>43428.08</v>
      </c>
      <c r="L29" s="8"/>
      <c r="M29" s="9"/>
    </row>
    <row r="30" spans="2:13" ht="14.45" x14ac:dyDescent="0.3">
      <c r="B30" s="5">
        <v>42978</v>
      </c>
      <c r="C30" s="9">
        <v>409040.38</v>
      </c>
      <c r="D30" s="9">
        <v>36157.33</v>
      </c>
      <c r="E30" s="9">
        <v>311.70999999999998</v>
      </c>
      <c r="F30" s="9"/>
      <c r="G30" s="6">
        <f t="shared" ref="G30:G40" si="1">C30+D30-E30</f>
        <v>444886</v>
      </c>
      <c r="H30" s="10">
        <v>4256</v>
      </c>
      <c r="I30" s="31">
        <v>4122</v>
      </c>
      <c r="J30" s="8">
        <v>36813.629999999997</v>
      </c>
      <c r="K30" s="8">
        <v>52896.84</v>
      </c>
      <c r="L30" s="8"/>
      <c r="M30" s="9"/>
    </row>
    <row r="31" spans="2:13" ht="14.45" x14ac:dyDescent="0.3">
      <c r="B31" s="5">
        <v>43008</v>
      </c>
      <c r="C31" s="9">
        <v>424234.27</v>
      </c>
      <c r="D31" s="9">
        <v>31035.51</v>
      </c>
      <c r="E31" s="9">
        <v>368.8</v>
      </c>
      <c r="F31" s="9"/>
      <c r="G31" s="6">
        <f t="shared" si="1"/>
        <v>454900.98000000004</v>
      </c>
      <c r="H31" s="10">
        <v>4288</v>
      </c>
      <c r="I31" s="31"/>
      <c r="J31" s="8">
        <v>38181.08</v>
      </c>
      <c r="K31" s="8">
        <v>54271.91</v>
      </c>
      <c r="L31" s="8"/>
      <c r="M31" s="9"/>
    </row>
    <row r="32" spans="2:13" ht="14.45" x14ac:dyDescent="0.3">
      <c r="B32" s="5">
        <v>43039</v>
      </c>
      <c r="C32" s="9">
        <v>440131.63</v>
      </c>
      <c r="D32" s="9">
        <v>33454.120000000003</v>
      </c>
      <c r="E32" s="9">
        <v>426.52</v>
      </c>
      <c r="F32" s="9"/>
      <c r="G32" s="6">
        <f t="shared" si="1"/>
        <v>473159.23</v>
      </c>
      <c r="H32" s="10">
        <v>4325</v>
      </c>
      <c r="I32" s="31"/>
      <c r="J32" s="8">
        <v>39611.85</v>
      </c>
      <c r="K32" s="8">
        <v>55354</v>
      </c>
      <c r="L32" s="8"/>
      <c r="M32" s="9"/>
    </row>
    <row r="33" spans="2:13" ht="14.45" x14ac:dyDescent="0.3">
      <c r="B33" s="5">
        <v>43069</v>
      </c>
      <c r="C33" s="9">
        <v>429662.34</v>
      </c>
      <c r="D33" s="9">
        <v>29721.82</v>
      </c>
      <c r="E33" s="9">
        <v>29618.799999999999</v>
      </c>
      <c r="F33" s="9"/>
      <c r="G33" s="6">
        <f t="shared" si="1"/>
        <v>429765.36000000004</v>
      </c>
      <c r="H33" s="10">
        <v>4355</v>
      </c>
      <c r="I33" s="31"/>
      <c r="J33" s="8">
        <v>38669.61</v>
      </c>
      <c r="K33" s="8">
        <v>57116.95</v>
      </c>
      <c r="L33" s="8"/>
      <c r="M33" s="9"/>
    </row>
    <row r="34" spans="2:13" ht="14.45" x14ac:dyDescent="0.3">
      <c r="B34" s="5">
        <v>43100</v>
      </c>
      <c r="C34" s="9">
        <v>396749.67</v>
      </c>
      <c r="D34" s="9">
        <v>29136.5</v>
      </c>
      <c r="E34" s="9">
        <v>209.77</v>
      </c>
      <c r="F34" s="9"/>
      <c r="G34" s="6">
        <f t="shared" si="1"/>
        <v>425676.39999999997</v>
      </c>
      <c r="H34" s="10">
        <v>4395</v>
      </c>
      <c r="I34" s="31"/>
      <c r="J34" s="8">
        <v>35707.47</v>
      </c>
      <c r="K34" s="8">
        <v>55220.75</v>
      </c>
      <c r="L34" s="8"/>
      <c r="M34" s="9"/>
    </row>
    <row r="35" spans="2:13" ht="14.45" x14ac:dyDescent="0.3">
      <c r="B35" s="5">
        <v>43131</v>
      </c>
      <c r="C35" s="9">
        <v>405341.37</v>
      </c>
      <c r="D35" s="9">
        <v>31297</v>
      </c>
      <c r="E35" s="9">
        <v>250.36</v>
      </c>
      <c r="F35" s="9"/>
      <c r="G35" s="6">
        <f t="shared" si="1"/>
        <v>436388.01</v>
      </c>
      <c r="H35" s="10">
        <v>4403</v>
      </c>
      <c r="I35" s="31"/>
      <c r="J35" s="8">
        <v>36480.723299999998</v>
      </c>
      <c r="K35" s="8">
        <v>55551.51</v>
      </c>
      <c r="L35" s="8"/>
      <c r="M35" s="9"/>
    </row>
    <row r="36" spans="2:13" ht="14.45" x14ac:dyDescent="0.3">
      <c r="B36" s="5">
        <v>43159</v>
      </c>
      <c r="C36" s="9">
        <v>421672.81</v>
      </c>
      <c r="D36" s="9">
        <v>27303.87</v>
      </c>
      <c r="E36" s="9">
        <v>290.95</v>
      </c>
      <c r="F36" s="9"/>
      <c r="G36" s="6">
        <f t="shared" si="1"/>
        <v>448685.73</v>
      </c>
      <c r="H36" s="10">
        <v>4413</v>
      </c>
      <c r="I36" s="31"/>
      <c r="J36" s="8">
        <v>37950.552899999995</v>
      </c>
      <c r="K36" s="8">
        <v>57421.72</v>
      </c>
      <c r="L36" s="8"/>
      <c r="M36" s="9"/>
    </row>
    <row r="37" spans="2:13" ht="14.45" x14ac:dyDescent="0.3">
      <c r="B37" s="5">
        <v>43190</v>
      </c>
      <c r="C37" s="9">
        <v>405547.57</v>
      </c>
      <c r="D37" s="9">
        <v>33143.769999999997</v>
      </c>
      <c r="E37" s="9">
        <v>332.37</v>
      </c>
      <c r="F37" s="9"/>
      <c r="G37" s="6">
        <f t="shared" si="1"/>
        <v>438358.97000000003</v>
      </c>
      <c r="H37" s="10">
        <v>4381</v>
      </c>
      <c r="I37" s="31"/>
      <c r="J37" s="8">
        <v>36499.281300000002</v>
      </c>
      <c r="K37" s="8">
        <v>58319.15</v>
      </c>
      <c r="L37" s="8"/>
      <c r="M37" s="9"/>
    </row>
    <row r="38" spans="2:13" ht="14.45" x14ac:dyDescent="0.3">
      <c r="B38" s="5">
        <v>43220</v>
      </c>
      <c r="C38" s="9">
        <v>260021.43</v>
      </c>
      <c r="D38" s="9">
        <v>33295.19</v>
      </c>
      <c r="E38" s="9">
        <v>358.78</v>
      </c>
      <c r="F38" s="9"/>
      <c r="G38" s="6">
        <f t="shared" si="1"/>
        <v>292957.83999999997</v>
      </c>
      <c r="H38" s="10">
        <v>4393</v>
      </c>
      <c r="I38" s="31"/>
      <c r="J38" s="8">
        <v>40908</v>
      </c>
      <c r="K38" s="8">
        <v>56537.55</v>
      </c>
      <c r="L38" s="8"/>
      <c r="M38" s="9"/>
    </row>
    <row r="39" spans="2:13" ht="14.45" x14ac:dyDescent="0.3">
      <c r="B39" s="5">
        <v>43251</v>
      </c>
      <c r="C39" s="9">
        <v>243848.86</v>
      </c>
      <c r="D39" s="9">
        <v>33034.53</v>
      </c>
      <c r="E39" s="9">
        <v>27956.16</v>
      </c>
      <c r="F39" s="9"/>
      <c r="G39" s="6">
        <f t="shared" si="1"/>
        <v>248927.23</v>
      </c>
      <c r="H39" s="10">
        <v>4371</v>
      </c>
      <c r="I39" s="31"/>
      <c r="J39" s="8">
        <v>38171.519999999997</v>
      </c>
      <c r="K39" s="8">
        <v>118619.42</v>
      </c>
      <c r="L39" s="8"/>
      <c r="M39" s="9"/>
    </row>
    <row r="40" spans="2:13" ht="14.45" x14ac:dyDescent="0.3">
      <c r="B40" s="5">
        <v>43281</v>
      </c>
      <c r="C40" s="9">
        <v>252369.51</v>
      </c>
      <c r="D40" s="9">
        <v>35847.519999999997</v>
      </c>
      <c r="E40" s="9">
        <v>0</v>
      </c>
      <c r="F40" s="9"/>
      <c r="G40" s="6">
        <f t="shared" si="1"/>
        <v>288217.03000000003</v>
      </c>
      <c r="H40" s="10">
        <v>4375</v>
      </c>
      <c r="I40" s="31"/>
      <c r="J40" s="8">
        <v>39541.47</v>
      </c>
      <c r="K40" s="8">
        <v>109790.45</v>
      </c>
      <c r="L40" s="8"/>
      <c r="M40" s="9"/>
    </row>
    <row r="41" spans="2:13" ht="14.45" x14ac:dyDescent="0.3">
      <c r="B41" s="5">
        <v>43312</v>
      </c>
      <c r="C41" s="9">
        <v>268272.40999999997</v>
      </c>
      <c r="D41" s="9">
        <v>37940.29</v>
      </c>
      <c r="E41" s="9">
        <v>263.81</v>
      </c>
      <c r="F41" s="9"/>
      <c r="G41" s="6">
        <f>C41+D41-E41</f>
        <v>305948.88999999996</v>
      </c>
      <c r="H41" s="10">
        <v>4451</v>
      </c>
      <c r="I41" s="31"/>
      <c r="J41" s="8">
        <v>42763.33</v>
      </c>
      <c r="K41" s="8">
        <v>118421.2</v>
      </c>
      <c r="L41" s="8"/>
      <c r="M41" s="9"/>
    </row>
    <row r="42" spans="2:13" ht="14.45" x14ac:dyDescent="0.3">
      <c r="B42" s="5">
        <v>43343</v>
      </c>
      <c r="C42" s="9">
        <v>239935.46</v>
      </c>
      <c r="D42" s="9">
        <v>40568.080000000002</v>
      </c>
      <c r="E42" s="9">
        <v>220.91</v>
      </c>
      <c r="F42" s="9"/>
      <c r="G42" s="6">
        <f>C42+D42-E42</f>
        <v>280282.63</v>
      </c>
      <c r="H42" s="10">
        <v>4431</v>
      </c>
      <c r="I42" s="31"/>
      <c r="J42" s="8">
        <v>38074.49</v>
      </c>
      <c r="K42" s="8">
        <v>125065.98</v>
      </c>
      <c r="L42" s="8"/>
      <c r="M42" s="9"/>
    </row>
    <row r="43" spans="2:13" ht="14.45" x14ac:dyDescent="0.3">
      <c r="B43" s="5">
        <v>43373</v>
      </c>
      <c r="C43" s="9">
        <v>255943.93</v>
      </c>
      <c r="D43" s="9">
        <v>33781.89</v>
      </c>
      <c r="E43" s="9">
        <v>260.69</v>
      </c>
      <c r="F43" s="9"/>
      <c r="G43" s="6">
        <f t="shared" ref="G43:G53" si="2">C43+D43-E43</f>
        <v>289465.13</v>
      </c>
      <c r="H43" s="10">
        <v>4489</v>
      </c>
      <c r="I43" s="31"/>
      <c r="J43" s="8">
        <v>41146.449999999997</v>
      </c>
      <c r="K43" s="8">
        <v>111100.74</v>
      </c>
      <c r="L43" s="8"/>
      <c r="M43" s="9"/>
    </row>
    <row r="44" spans="2:13" ht="14.45" x14ac:dyDescent="0.3">
      <c r="B44" s="5">
        <v>43404</v>
      </c>
      <c r="C44" s="9">
        <v>272322.89</v>
      </c>
      <c r="D44" s="9">
        <v>39367.800000000003</v>
      </c>
      <c r="E44" s="9">
        <v>0</v>
      </c>
      <c r="F44" s="9"/>
      <c r="G44" s="6">
        <f t="shared" si="2"/>
        <v>311690.69</v>
      </c>
      <c r="H44" s="10">
        <v>4584</v>
      </c>
      <c r="I44" s="31"/>
      <c r="J44" s="8">
        <v>44706.09</v>
      </c>
      <c r="K44" s="8">
        <v>126658.55</v>
      </c>
      <c r="L44" s="8"/>
      <c r="M44" s="9"/>
    </row>
    <row r="45" spans="2:13" ht="14.45" x14ac:dyDescent="0.3">
      <c r="B45" s="5">
        <v>43434</v>
      </c>
      <c r="C45" s="9">
        <v>271328.71000000002</v>
      </c>
      <c r="D45" s="9">
        <v>35728.959999999999</v>
      </c>
      <c r="E45" s="9">
        <v>32913.69</v>
      </c>
      <c r="F45" s="9"/>
      <c r="G45" s="6">
        <f t="shared" si="2"/>
        <v>274143.98000000004</v>
      </c>
      <c r="H45" s="10">
        <v>4617</v>
      </c>
      <c r="I45" s="31"/>
      <c r="J45" s="8">
        <v>44863.54</v>
      </c>
      <c r="K45" s="8">
        <v>138129.85999999999</v>
      </c>
      <c r="L45" s="8"/>
      <c r="M45" s="9"/>
    </row>
    <row r="46" spans="2:13" ht="14.45" x14ac:dyDescent="0.3">
      <c r="B46" s="5">
        <v>43465</v>
      </c>
      <c r="C46" s="9">
        <v>263865.61</v>
      </c>
      <c r="D46" s="9">
        <v>37698.559999999998</v>
      </c>
      <c r="E46" s="9">
        <v>0</v>
      </c>
      <c r="F46" s="9"/>
      <c r="G46" s="6">
        <f t="shared" si="2"/>
        <v>301564.17</v>
      </c>
      <c r="H46" s="10">
        <v>4640</v>
      </c>
      <c r="I46" s="31"/>
      <c r="J46" s="8">
        <v>43846.879999999997</v>
      </c>
      <c r="K46" s="8">
        <v>138180.82999999999</v>
      </c>
      <c r="L46" s="8"/>
      <c r="M46" s="9"/>
    </row>
    <row r="47" spans="2:13" ht="14.45" x14ac:dyDescent="0.3">
      <c r="B47" s="5">
        <v>43496</v>
      </c>
      <c r="C47" s="9">
        <v>272045.75</v>
      </c>
      <c r="D47" s="9">
        <v>42580.39</v>
      </c>
      <c r="E47" s="9">
        <v>306.07</v>
      </c>
      <c r="F47" s="9"/>
      <c r="G47" s="6">
        <f t="shared" si="2"/>
        <v>314320.07</v>
      </c>
      <c r="H47" s="10">
        <v>4760</v>
      </c>
      <c r="I47" s="31"/>
      <c r="J47" s="8">
        <v>45089.27</v>
      </c>
      <c r="K47" s="8">
        <v>128602.69</v>
      </c>
      <c r="L47" s="8"/>
      <c r="M47" s="9"/>
    </row>
    <row r="48" spans="2:13" ht="14.45" x14ac:dyDescent="0.3">
      <c r="B48" s="5">
        <v>43524</v>
      </c>
      <c r="C48" s="9">
        <v>265267.87</v>
      </c>
      <c r="D48" s="9">
        <v>37922.089999999997</v>
      </c>
      <c r="E48" s="9"/>
      <c r="F48" s="9"/>
      <c r="G48" s="6">
        <f t="shared" si="2"/>
        <v>303189.95999999996</v>
      </c>
      <c r="H48" s="10">
        <v>4698</v>
      </c>
      <c r="I48" s="31"/>
      <c r="J48" s="8">
        <v>44630.89</v>
      </c>
      <c r="K48" s="8">
        <v>156882.14000000001</v>
      </c>
      <c r="L48" s="8"/>
      <c r="M48" s="9"/>
    </row>
    <row r="49" spans="2:13" ht="14.45" x14ac:dyDescent="0.3">
      <c r="B49" s="5">
        <v>43555</v>
      </c>
      <c r="C49" s="9">
        <v>267288.33</v>
      </c>
      <c r="D49" s="9">
        <v>37139.57</v>
      </c>
      <c r="E49" s="9"/>
      <c r="F49" s="9"/>
      <c r="G49" s="6">
        <f t="shared" si="2"/>
        <v>304427.90000000002</v>
      </c>
      <c r="H49" s="10">
        <v>4760</v>
      </c>
      <c r="I49" s="31"/>
      <c r="J49" s="8">
        <v>45564.32</v>
      </c>
      <c r="K49" s="8">
        <v>141471.82999999999</v>
      </c>
      <c r="L49" s="8"/>
      <c r="M49" s="9"/>
    </row>
    <row r="50" spans="2:13" ht="14.45" x14ac:dyDescent="0.3">
      <c r="B50" s="5">
        <v>43585</v>
      </c>
      <c r="C50" s="9">
        <v>266140.09999999998</v>
      </c>
      <c r="D50" s="9">
        <v>42324.47</v>
      </c>
      <c r="E50" s="9"/>
      <c r="F50" s="9"/>
      <c r="G50" s="6">
        <f t="shared" si="2"/>
        <v>308464.56999999995</v>
      </c>
      <c r="H50" s="10">
        <v>4824</v>
      </c>
      <c r="I50" s="31"/>
      <c r="J50" s="8">
        <v>45978.58</v>
      </c>
      <c r="K50" s="8">
        <v>154865.57</v>
      </c>
      <c r="L50" s="8"/>
      <c r="M50" s="9"/>
    </row>
    <row r="51" spans="2:13" ht="14.45" x14ac:dyDescent="0.3">
      <c r="B51" s="5">
        <v>43616</v>
      </c>
      <c r="C51" s="9">
        <v>273944.18</v>
      </c>
      <c r="D51" s="9">
        <v>44866.3</v>
      </c>
      <c r="E51" s="9">
        <v>36073.519999999997</v>
      </c>
      <c r="F51" s="9"/>
      <c r="G51" s="6">
        <f t="shared" si="2"/>
        <v>282736.95999999996</v>
      </c>
      <c r="H51" s="10">
        <v>6033</v>
      </c>
      <c r="I51" s="31"/>
      <c r="J51" s="8">
        <v>61331.7</v>
      </c>
      <c r="K51" s="8">
        <v>195819.42</v>
      </c>
      <c r="L51" s="8"/>
      <c r="M51" s="9"/>
    </row>
    <row r="52" spans="2:13" ht="14.45" x14ac:dyDescent="0.3">
      <c r="B52" s="5">
        <v>43646</v>
      </c>
      <c r="C52" s="9">
        <v>270412.5</v>
      </c>
      <c r="D52" s="9">
        <v>39062.400000000001</v>
      </c>
      <c r="E52" s="9">
        <v>0</v>
      </c>
      <c r="F52" s="9"/>
      <c r="G52" s="6">
        <f t="shared" si="2"/>
        <v>309474.90000000002</v>
      </c>
      <c r="H52" s="10">
        <v>6080</v>
      </c>
      <c r="I52" s="31"/>
      <c r="J52" s="8">
        <v>61012.65</v>
      </c>
      <c r="K52" s="8">
        <v>185903.29</v>
      </c>
      <c r="L52" s="8"/>
      <c r="M52" s="9"/>
    </row>
    <row r="53" spans="2:13" ht="14.45" x14ac:dyDescent="0.3">
      <c r="B53" s="5">
        <v>43677</v>
      </c>
      <c r="C53" s="9">
        <v>273727.25</v>
      </c>
      <c r="D53" s="9">
        <v>47459.88</v>
      </c>
      <c r="E53" s="9">
        <v>0</v>
      </c>
      <c r="F53" s="9"/>
      <c r="G53" s="6">
        <f t="shared" si="2"/>
        <v>321187.13</v>
      </c>
      <c r="H53" s="10">
        <v>6134</v>
      </c>
      <c r="I53" s="31"/>
      <c r="J53" s="8">
        <v>62309.09</v>
      </c>
      <c r="K53" s="8">
        <v>202016.44</v>
      </c>
      <c r="L53" s="8"/>
      <c r="M53" s="9"/>
    </row>
    <row r="54" spans="2:13" ht="14.45" x14ac:dyDescent="0.3">
      <c r="B54" s="5">
        <v>43708</v>
      </c>
      <c r="C54" s="9">
        <v>277510.96000000002</v>
      </c>
      <c r="D54" s="9">
        <v>42105.22</v>
      </c>
      <c r="E54" s="9">
        <v>0</v>
      </c>
      <c r="F54" s="9"/>
      <c r="G54" s="6">
        <f t="shared" ref="G54:G67" si="3">C54+D54-E54</f>
        <v>319616.18000000005</v>
      </c>
      <c r="H54" s="10">
        <v>6188</v>
      </c>
      <c r="I54" s="31"/>
      <c r="J54" s="8">
        <v>63726.49</v>
      </c>
      <c r="K54" s="8">
        <v>203466.26</v>
      </c>
      <c r="L54" s="8"/>
      <c r="M54" s="9"/>
    </row>
    <row r="55" spans="2:13" ht="14.45" x14ac:dyDescent="0.3">
      <c r="B55" s="5">
        <v>43738</v>
      </c>
      <c r="C55" s="9">
        <v>287704.31</v>
      </c>
      <c r="D55" s="9">
        <v>38454.97</v>
      </c>
      <c r="E55" s="9">
        <v>0</v>
      </c>
      <c r="F55" s="9"/>
      <c r="G55" s="6">
        <f t="shared" si="3"/>
        <v>326159.28000000003</v>
      </c>
      <c r="H55" s="10">
        <v>6254</v>
      </c>
      <c r="I55" s="31"/>
      <c r="J55" s="8">
        <v>66771.91</v>
      </c>
      <c r="K55" s="8">
        <v>210413.65</v>
      </c>
      <c r="L55" s="8"/>
      <c r="M55" s="9"/>
    </row>
    <row r="56" spans="2:13" ht="14.45" x14ac:dyDescent="0.3">
      <c r="B56" s="5">
        <v>43769</v>
      </c>
      <c r="C56" s="9">
        <v>284472.58</v>
      </c>
      <c r="D56" s="9">
        <v>38152.9</v>
      </c>
      <c r="E56" s="9">
        <v>0</v>
      </c>
      <c r="F56" s="9"/>
      <c r="G56" s="6">
        <f t="shared" si="3"/>
        <v>322625.48000000004</v>
      </c>
      <c r="H56" s="10">
        <v>6329</v>
      </c>
      <c r="I56" s="31"/>
      <c r="J56" s="8">
        <v>66813.63</v>
      </c>
      <c r="K56" s="8">
        <v>220625.71</v>
      </c>
      <c r="L56" s="8"/>
      <c r="M56" s="9"/>
    </row>
    <row r="57" spans="2:13" ht="14.45" x14ac:dyDescent="0.3">
      <c r="B57" s="5">
        <v>43799</v>
      </c>
      <c r="C57" s="9">
        <v>304941.65000000002</v>
      </c>
      <c r="D57" s="9">
        <v>28325.33</v>
      </c>
      <c r="E57" s="9">
        <v>35033.129999999997</v>
      </c>
      <c r="F57" s="9"/>
      <c r="G57" s="6">
        <f t="shared" si="3"/>
        <v>298233.85000000003</v>
      </c>
      <c r="H57" s="10">
        <v>6419</v>
      </c>
      <c r="I57" s="31"/>
      <c r="J57" s="8">
        <v>72639.64</v>
      </c>
      <c r="K57" s="8">
        <v>234831.68</v>
      </c>
      <c r="L57" s="8"/>
      <c r="M57" s="9"/>
    </row>
    <row r="58" spans="2:13" ht="14.45" x14ac:dyDescent="0.3">
      <c r="B58" s="5">
        <v>43830</v>
      </c>
      <c r="C58" s="9">
        <v>281354.40000000002</v>
      </c>
      <c r="D58" s="9">
        <v>29049.65</v>
      </c>
      <c r="E58" s="9">
        <v>75.56</v>
      </c>
      <c r="F58" s="9"/>
      <c r="G58" s="6">
        <f t="shared" si="3"/>
        <v>310328.49000000005</v>
      </c>
      <c r="H58" s="10">
        <v>6485</v>
      </c>
      <c r="I58" s="31"/>
      <c r="J58" s="8">
        <v>67710.070000000007</v>
      </c>
      <c r="K58" s="8">
        <v>222446.61</v>
      </c>
      <c r="L58" s="8"/>
      <c r="M58" s="9"/>
    </row>
    <row r="59" spans="2:13" ht="14.45" x14ac:dyDescent="0.3">
      <c r="B59" s="5">
        <v>43861</v>
      </c>
      <c r="C59" s="9">
        <v>292588.97103120037</v>
      </c>
      <c r="D59" s="9">
        <v>29068.95</v>
      </c>
      <c r="E59" s="9">
        <v>71.38</v>
      </c>
      <c r="F59" s="9"/>
      <c r="G59" s="6">
        <f t="shared" si="3"/>
        <v>321586.54103120038</v>
      </c>
      <c r="H59" s="10">
        <v>6517</v>
      </c>
      <c r="I59" s="31"/>
      <c r="J59" s="8">
        <v>70761.209938409942</v>
      </c>
      <c r="K59" s="8">
        <v>252233.59725832136</v>
      </c>
      <c r="L59" s="8"/>
      <c r="M59" s="9"/>
    </row>
    <row r="60" spans="2:13" ht="14.45" x14ac:dyDescent="0.3">
      <c r="B60" s="5">
        <v>43890</v>
      </c>
      <c r="C60" s="9">
        <v>276554.19095261092</v>
      </c>
      <c r="D60" s="9">
        <v>20894.509999999998</v>
      </c>
      <c r="E60" s="9">
        <v>0</v>
      </c>
      <c r="F60" s="9"/>
      <c r="G60" s="6">
        <f t="shared" si="3"/>
        <v>297448.70095261093</v>
      </c>
      <c r="H60" s="10">
        <v>6567</v>
      </c>
      <c r="I60" s="31"/>
      <c r="J60" s="8">
        <v>67396.421567736514</v>
      </c>
      <c r="K60" s="8">
        <v>223844.27519838509</v>
      </c>
      <c r="L60" s="8"/>
      <c r="M60" s="9"/>
    </row>
    <row r="61" spans="2:13" ht="14.45" x14ac:dyDescent="0.3">
      <c r="B61" s="5">
        <v>43921</v>
      </c>
      <c r="C61" s="9">
        <v>278416.53000000003</v>
      </c>
      <c r="D61" s="9">
        <v>19528.509999999998</v>
      </c>
      <c r="E61" s="9">
        <v>0.04</v>
      </c>
      <c r="F61" s="9">
        <v>42</v>
      </c>
      <c r="G61" s="6">
        <f>C61+D61-E61</f>
        <v>297945.00000000006</v>
      </c>
      <c r="H61" s="10"/>
      <c r="I61" s="31"/>
      <c r="J61" s="8">
        <v>0</v>
      </c>
      <c r="K61" s="8">
        <v>229087.25</v>
      </c>
      <c r="L61" s="8"/>
      <c r="M61" s="9"/>
    </row>
    <row r="62" spans="2:13" ht="14.45" x14ac:dyDescent="0.3">
      <c r="B62" s="5">
        <v>43951</v>
      </c>
      <c r="C62" s="9">
        <v>0</v>
      </c>
      <c r="D62" s="9">
        <v>10000.08</v>
      </c>
      <c r="E62" s="9"/>
      <c r="F62" s="9">
        <v>42</v>
      </c>
      <c r="G62" s="6">
        <f>C62+D62-E62</f>
        <v>10000.08</v>
      </c>
      <c r="H62" s="10"/>
      <c r="I62" s="31"/>
      <c r="J62" s="8">
        <v>0</v>
      </c>
      <c r="K62" s="8">
        <v>0</v>
      </c>
      <c r="L62" s="8"/>
      <c r="M62" s="9"/>
    </row>
    <row r="63" spans="2:13" ht="14.45" x14ac:dyDescent="0.3">
      <c r="B63" s="5">
        <v>43982</v>
      </c>
      <c r="C63" s="9">
        <v>0</v>
      </c>
      <c r="D63" s="9">
        <v>19168.27</v>
      </c>
      <c r="E63" s="9">
        <v>19010.16</v>
      </c>
      <c r="F63" s="9">
        <v>42</v>
      </c>
      <c r="G63" s="6">
        <f>C63+D63-E63</f>
        <v>158.11000000000058</v>
      </c>
      <c r="H63" s="10"/>
      <c r="I63" s="31"/>
      <c r="J63" s="8">
        <v>0</v>
      </c>
      <c r="K63" s="8">
        <v>0</v>
      </c>
      <c r="L63" s="8"/>
      <c r="M63" s="9"/>
    </row>
    <row r="64" spans="2:13" ht="14.45" x14ac:dyDescent="0.3">
      <c r="B64" s="5">
        <v>44012</v>
      </c>
      <c r="C64" s="9">
        <v>0</v>
      </c>
      <c r="D64" s="9">
        <v>12424.36</v>
      </c>
      <c r="E64" s="9">
        <v>0</v>
      </c>
      <c r="F64" s="9">
        <v>85.5</v>
      </c>
      <c r="G64" s="6">
        <f t="shared" si="3"/>
        <v>12424.36</v>
      </c>
      <c r="H64" s="10"/>
      <c r="I64" s="31"/>
      <c r="J64" s="8">
        <v>0</v>
      </c>
      <c r="K64" s="8">
        <v>0</v>
      </c>
      <c r="L64" s="8"/>
      <c r="M64" s="9"/>
    </row>
    <row r="65" spans="2:13" ht="14.45" x14ac:dyDescent="0.3">
      <c r="B65" s="5">
        <v>44043</v>
      </c>
      <c r="C65" s="9">
        <v>0</v>
      </c>
      <c r="D65" s="9">
        <v>8793.7199999999993</v>
      </c>
      <c r="E65" s="9">
        <v>0</v>
      </c>
      <c r="F65" s="9">
        <v>0</v>
      </c>
      <c r="G65" s="6">
        <f t="shared" si="3"/>
        <v>8793.7199999999993</v>
      </c>
      <c r="H65" s="10"/>
      <c r="I65" s="31"/>
      <c r="J65" s="8">
        <v>0</v>
      </c>
      <c r="K65" s="8">
        <v>0</v>
      </c>
      <c r="L65" s="8"/>
      <c r="M65" s="9"/>
    </row>
    <row r="66" spans="2:13" ht="14.45" x14ac:dyDescent="0.3">
      <c r="B66" s="5">
        <v>44074</v>
      </c>
      <c r="C66" s="9">
        <v>0</v>
      </c>
      <c r="D66" s="9">
        <v>3728.3</v>
      </c>
      <c r="E66" s="9">
        <v>0</v>
      </c>
      <c r="F66" s="9">
        <v>0</v>
      </c>
      <c r="G66" s="6">
        <f t="shared" si="3"/>
        <v>3728.3</v>
      </c>
      <c r="H66" s="10"/>
      <c r="I66" s="31"/>
      <c r="J66" s="8">
        <v>0</v>
      </c>
      <c r="K66" s="8">
        <v>0</v>
      </c>
      <c r="L66" s="8"/>
      <c r="M66" s="9"/>
    </row>
    <row r="67" spans="2:13" ht="14.45" x14ac:dyDescent="0.3">
      <c r="B67" s="5">
        <v>44104</v>
      </c>
      <c r="C67" s="9">
        <v>0</v>
      </c>
      <c r="D67" s="9">
        <v>-37793.51</v>
      </c>
      <c r="E67" s="9">
        <v>0</v>
      </c>
      <c r="F67" s="9">
        <v>0</v>
      </c>
      <c r="G67" s="6">
        <f t="shared" si="3"/>
        <v>-37793.51</v>
      </c>
      <c r="H67" s="10"/>
      <c r="I67" s="31"/>
      <c r="J67" s="8">
        <v>0</v>
      </c>
      <c r="K67" s="8">
        <v>0</v>
      </c>
      <c r="L67" s="8"/>
      <c r="M67" s="9"/>
    </row>
    <row r="68" spans="2:13" ht="14.45" x14ac:dyDescent="0.3">
      <c r="B68" s="5">
        <v>44135</v>
      </c>
      <c r="C68" s="9">
        <v>0</v>
      </c>
      <c r="D68" s="9">
        <v>-6218.32</v>
      </c>
      <c r="E68" s="9">
        <v>0</v>
      </c>
      <c r="F68" s="9">
        <v>0</v>
      </c>
      <c r="G68" s="6">
        <f>C68+D68-E68</f>
        <v>-6218.32</v>
      </c>
      <c r="H68" s="10"/>
      <c r="I68" s="31"/>
      <c r="J68" s="8">
        <v>0</v>
      </c>
      <c r="K68" s="8">
        <v>0</v>
      </c>
      <c r="L68" s="8"/>
      <c r="M68" s="9"/>
    </row>
    <row r="69" spans="2:13" ht="14.45" x14ac:dyDescent="0.3">
      <c r="B69" s="5">
        <v>44165</v>
      </c>
      <c r="C69" s="9">
        <v>0</v>
      </c>
      <c r="D69" s="9">
        <v>2072.77</v>
      </c>
      <c r="E69" s="9">
        <v>0</v>
      </c>
      <c r="F69" s="9">
        <v>0</v>
      </c>
      <c r="G69" s="6">
        <f t="shared" ref="G69:G74" si="4">C69+D69-E69</f>
        <v>2072.77</v>
      </c>
      <c r="H69" s="10"/>
      <c r="I69" s="31"/>
      <c r="J69" s="8">
        <v>0</v>
      </c>
      <c r="K69" s="8">
        <v>0</v>
      </c>
      <c r="L69" s="8"/>
      <c r="M69" s="9"/>
    </row>
    <row r="70" spans="2:13" ht="14.45" x14ac:dyDescent="0.3">
      <c r="B70" s="5">
        <v>44196</v>
      </c>
      <c r="C70" s="9">
        <v>0</v>
      </c>
      <c r="D70" s="9">
        <v>20701.8</v>
      </c>
      <c r="E70" s="9"/>
      <c r="F70" s="9"/>
      <c r="G70" s="6">
        <f t="shared" si="4"/>
        <v>20701.8</v>
      </c>
      <c r="H70" s="10"/>
      <c r="I70" s="31"/>
      <c r="J70" s="8">
        <v>0</v>
      </c>
      <c r="K70" s="8">
        <v>0</v>
      </c>
      <c r="L70" s="8"/>
      <c r="M70" s="9"/>
    </row>
    <row r="71" spans="2:13" ht="14.45" x14ac:dyDescent="0.3">
      <c r="B71" s="5">
        <v>44227</v>
      </c>
      <c r="C71" s="9">
        <v>0</v>
      </c>
      <c r="D71" s="9">
        <v>12272.55</v>
      </c>
      <c r="E71" s="9"/>
      <c r="F71" s="9"/>
      <c r="G71" s="6">
        <f t="shared" si="4"/>
        <v>12272.55</v>
      </c>
      <c r="H71" s="10"/>
      <c r="I71" s="31"/>
      <c r="J71" s="8">
        <v>0</v>
      </c>
      <c r="K71" s="8">
        <v>0</v>
      </c>
      <c r="L71" s="8"/>
      <c r="M71" s="9"/>
    </row>
    <row r="72" spans="2:13" ht="14.45" x14ac:dyDescent="0.3">
      <c r="B72" s="5">
        <v>44255</v>
      </c>
      <c r="C72" s="9">
        <v>0</v>
      </c>
      <c r="D72" s="9">
        <v>-2426.91</v>
      </c>
      <c r="E72" s="9"/>
      <c r="F72" s="9"/>
      <c r="G72" s="6">
        <f t="shared" si="4"/>
        <v>-2426.91</v>
      </c>
      <c r="H72" s="10"/>
      <c r="I72" s="31"/>
      <c r="J72" s="8">
        <v>0</v>
      </c>
      <c r="K72" s="8">
        <v>0</v>
      </c>
      <c r="L72" s="8"/>
      <c r="M72" s="9"/>
    </row>
    <row r="73" spans="2:13" ht="14.45" x14ac:dyDescent="0.3">
      <c r="B73" s="5">
        <v>44286</v>
      </c>
      <c r="C73" s="9">
        <v>0</v>
      </c>
      <c r="D73" s="9">
        <v>6814.24</v>
      </c>
      <c r="E73" s="9"/>
      <c r="F73" s="9"/>
      <c r="G73" s="6">
        <f t="shared" si="4"/>
        <v>6814.24</v>
      </c>
      <c r="H73" s="10"/>
      <c r="I73" s="31"/>
      <c r="J73" s="8">
        <v>0</v>
      </c>
      <c r="K73" s="8">
        <v>0</v>
      </c>
      <c r="L73" s="8"/>
      <c r="M73" s="9"/>
    </row>
    <row r="74" spans="2:13" ht="14.45" x14ac:dyDescent="0.3">
      <c r="B74" s="5">
        <v>44316</v>
      </c>
      <c r="C74" s="9">
        <v>0</v>
      </c>
      <c r="D74" s="9">
        <v>4439.1899999999996</v>
      </c>
      <c r="E74" s="9">
        <v>934.24</v>
      </c>
      <c r="F74" s="9"/>
      <c r="G74" s="6">
        <f t="shared" si="4"/>
        <v>3504.95</v>
      </c>
      <c r="H74" s="10"/>
      <c r="I74" s="31"/>
      <c r="J74" s="8">
        <v>2969764.16</v>
      </c>
      <c r="K74" s="8">
        <v>0</v>
      </c>
      <c r="L74" s="8"/>
      <c r="M74" s="9"/>
    </row>
    <row r="75" spans="2:13" ht="14.45" x14ac:dyDescent="0.3">
      <c r="B75" s="5"/>
      <c r="C75" s="9"/>
      <c r="D75" s="9"/>
      <c r="E75" s="9"/>
      <c r="F75" s="9"/>
      <c r="G75" s="6"/>
      <c r="H75" s="10"/>
      <c r="I75" s="31"/>
      <c r="J75" s="8"/>
      <c r="K75" s="8"/>
      <c r="L75" s="8"/>
      <c r="M75" s="9"/>
    </row>
    <row r="76" spans="2:13" ht="14.45" x14ac:dyDescent="0.3">
      <c r="B76" s="13" t="s">
        <v>35</v>
      </c>
      <c r="C76" s="14">
        <f>SUM(C14:C75)</f>
        <v>16053508.84198381</v>
      </c>
      <c r="D76" s="14">
        <f>SUM(D14:D75)</f>
        <v>1490557.79</v>
      </c>
      <c r="E76" s="14">
        <f>SUM(E14:E75)</f>
        <v>225266.07</v>
      </c>
      <c r="F76" s="14">
        <f>SUM(F14:F75)</f>
        <v>211.5</v>
      </c>
      <c r="G76" s="14">
        <f>SUM(G14:G75)</f>
        <v>17318800.561983809</v>
      </c>
      <c r="H76" s="14"/>
      <c r="I76" s="14"/>
      <c r="J76" s="14">
        <f>SUM(J14:J75)</f>
        <v>5170257.9662461467</v>
      </c>
      <c r="K76" s="14">
        <f>SUM(K14:K75)</f>
        <v>5039110.6824567067</v>
      </c>
      <c r="L76" s="14">
        <f>SUM(L14:L75)</f>
        <v>0</v>
      </c>
      <c r="M76" s="14">
        <f>SUM(M14:M75)</f>
        <v>0</v>
      </c>
    </row>
    <row r="77" spans="2:13" ht="10.15" x14ac:dyDescent="0.2">
      <c r="E77" s="38"/>
      <c r="F77" s="38"/>
      <c r="K77" s="38"/>
    </row>
    <row r="78" spans="2:13" ht="10.15" x14ac:dyDescent="0.2">
      <c r="B78" s="25" t="s">
        <v>23</v>
      </c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</row>
    <row r="79" spans="2:13" x14ac:dyDescent="0.2">
      <c r="B79" s="26" t="s">
        <v>58</v>
      </c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</row>
    <row r="80" spans="2:13" x14ac:dyDescent="0.2">
      <c r="B80" s="26" t="s">
        <v>57</v>
      </c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</row>
    <row r="81" spans="2:13" x14ac:dyDescent="0.2">
      <c r="B81" s="26" t="s">
        <v>59</v>
      </c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</row>
    <row r="82" spans="2:13" x14ac:dyDescent="0.2">
      <c r="B82" s="27" t="s">
        <v>31</v>
      </c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2:13" ht="11.25" customHeight="1" x14ac:dyDescent="0.2">
      <c r="B83" s="72" t="s">
        <v>32</v>
      </c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</row>
    <row r="84" spans="2:13" x14ac:dyDescent="0.2">
      <c r="B84" s="26" t="s">
        <v>37</v>
      </c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</row>
    <row r="85" spans="2:13" x14ac:dyDescent="0.2">
      <c r="B85" s="26" t="s">
        <v>44</v>
      </c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</row>
  </sheetData>
  <mergeCells count="11">
    <mergeCell ref="B11:M11"/>
    <mergeCell ref="B2:M3"/>
    <mergeCell ref="B83:M83"/>
    <mergeCell ref="C12:G12"/>
    <mergeCell ref="B12:B13"/>
    <mergeCell ref="J12:J13"/>
    <mergeCell ref="I12:I13"/>
    <mergeCell ref="H12:H13"/>
    <mergeCell ref="M12:M13"/>
    <mergeCell ref="K12:K13"/>
    <mergeCell ref="L12:L13"/>
  </mergeCell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85"/>
  <sheetViews>
    <sheetView showGridLines="0" topLeftCell="A58" zoomScaleNormal="100" workbookViewId="0">
      <selection activeCell="C74" sqref="C74"/>
    </sheetView>
  </sheetViews>
  <sheetFormatPr defaultColWidth="8.6640625" defaultRowHeight="11.25" x14ac:dyDescent="0.2"/>
  <cols>
    <col min="1" max="1" width="2.6640625" customWidth="1"/>
    <col min="2" max="2" width="15.6640625" customWidth="1"/>
    <col min="3" max="3" width="17.5" bestFit="1" customWidth="1"/>
    <col min="4" max="4" width="16.6640625" customWidth="1"/>
    <col min="5" max="5" width="15.6640625" customWidth="1"/>
    <col min="6" max="6" width="17.6640625" customWidth="1"/>
    <col min="7" max="11" width="20.6640625" customWidth="1"/>
    <col min="12" max="12" width="5" customWidth="1"/>
    <col min="13" max="13" width="62.6640625" customWidth="1"/>
    <col min="14" max="14" width="9.6640625" customWidth="1"/>
    <col min="15" max="15" width="8.6640625" customWidth="1"/>
  </cols>
  <sheetData>
    <row r="1" spans="2:16" ht="11.25" customHeight="1" x14ac:dyDescent="0.2">
      <c r="L1" s="1"/>
    </row>
    <row r="2" spans="2:16" ht="15" customHeight="1" x14ac:dyDescent="0.2">
      <c r="B2" s="71" t="s">
        <v>29</v>
      </c>
      <c r="C2" s="71"/>
      <c r="D2" s="71"/>
      <c r="E2" s="71"/>
      <c r="F2" s="71"/>
      <c r="G2" s="71"/>
      <c r="H2" s="71"/>
      <c r="I2" s="71"/>
      <c r="J2" s="71"/>
      <c r="K2" s="71"/>
    </row>
    <row r="3" spans="2:16" ht="15" customHeight="1" x14ac:dyDescent="0.2"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2:16" ht="11.25" customHeight="1" x14ac:dyDescent="0.2"/>
    <row r="5" spans="2:16" s="15" customFormat="1" ht="19.899999999999999" customHeight="1" x14ac:dyDescent="0.25">
      <c r="B5" s="21" t="s">
        <v>39</v>
      </c>
      <c r="C5" s="21"/>
      <c r="D5" s="21"/>
      <c r="E5" s="21"/>
      <c r="F5" s="22" t="s">
        <v>49</v>
      </c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2:16" s="15" customFormat="1" ht="6" customHeight="1" x14ac:dyDescent="0.3">
      <c r="B6" s="16"/>
      <c r="C6" s="16"/>
      <c r="D6" s="16"/>
      <c r="E6" s="16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2:16" s="15" customFormat="1" ht="19.899999999999999" customHeight="1" x14ac:dyDescent="0.25">
      <c r="B7" s="21" t="s">
        <v>40</v>
      </c>
      <c r="C7" s="21"/>
      <c r="D7" s="21"/>
      <c r="E7" s="21"/>
      <c r="F7" s="22" t="s">
        <v>43</v>
      </c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2:16" ht="6" customHeight="1" x14ac:dyDescent="0.2">
      <c r="B8" s="23"/>
      <c r="C8" s="23"/>
      <c r="D8" s="23"/>
      <c r="E8" s="23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2:16" ht="15.75" x14ac:dyDescent="0.25">
      <c r="B9" s="24" t="s">
        <v>52</v>
      </c>
      <c r="C9" s="24"/>
      <c r="D9" s="24"/>
      <c r="E9" s="24"/>
      <c r="F9" s="24"/>
      <c r="G9" s="24"/>
    </row>
    <row r="10" spans="2:16" ht="10.15" customHeight="1" x14ac:dyDescent="0.3">
      <c r="B10" s="19"/>
      <c r="C10" s="19"/>
      <c r="D10" s="19"/>
      <c r="E10" s="19"/>
      <c r="F10" s="19"/>
      <c r="G10" s="19"/>
    </row>
    <row r="11" spans="2:16" ht="75" customHeight="1" x14ac:dyDescent="0.3"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30"/>
      <c r="M11" s="30"/>
      <c r="N11" s="30"/>
      <c r="O11" s="20"/>
      <c r="P11" s="20"/>
    </row>
    <row r="12" spans="2:16" ht="15" customHeight="1" x14ac:dyDescent="0.2">
      <c r="B12" s="80" t="s">
        <v>4</v>
      </c>
      <c r="C12" s="73" t="s">
        <v>6</v>
      </c>
      <c r="D12" s="73"/>
      <c r="E12" s="73"/>
      <c r="F12" s="73"/>
      <c r="G12" s="82" t="s">
        <v>15</v>
      </c>
      <c r="H12" s="83"/>
      <c r="I12" s="83"/>
      <c r="J12" s="83"/>
      <c r="K12" s="84"/>
    </row>
    <row r="13" spans="2:16" ht="30" customHeight="1" x14ac:dyDescent="0.2">
      <c r="B13" s="81"/>
      <c r="C13" s="4" t="s">
        <v>33</v>
      </c>
      <c r="D13" s="4" t="s">
        <v>34</v>
      </c>
      <c r="E13" s="28" t="s">
        <v>48</v>
      </c>
      <c r="F13" s="4" t="s">
        <v>35</v>
      </c>
      <c r="G13" s="12" t="s">
        <v>19</v>
      </c>
      <c r="H13" s="12" t="s">
        <v>20</v>
      </c>
      <c r="I13" s="12" t="s">
        <v>21</v>
      </c>
      <c r="J13" s="12" t="s">
        <v>63</v>
      </c>
      <c r="K13" s="12" t="s">
        <v>35</v>
      </c>
    </row>
    <row r="14" spans="2:16" ht="14.45" x14ac:dyDescent="0.3">
      <c r="B14" s="5">
        <v>42490</v>
      </c>
      <c r="C14" s="6">
        <v>209338.26</v>
      </c>
      <c r="D14" s="6"/>
      <c r="E14" s="6"/>
      <c r="F14" s="6">
        <f>C14+D14-E14</f>
        <v>209338.26</v>
      </c>
      <c r="G14" s="8">
        <v>28122.76</v>
      </c>
      <c r="H14" s="8">
        <v>0</v>
      </c>
      <c r="I14" s="8">
        <v>0</v>
      </c>
      <c r="J14" s="8">
        <v>0</v>
      </c>
      <c r="K14" s="8">
        <f t="shared" ref="K14:K40" si="0">G14+H14+I14</f>
        <v>28122.76</v>
      </c>
    </row>
    <row r="15" spans="2:16" ht="14.45" x14ac:dyDescent="0.3">
      <c r="B15" s="5">
        <v>42521</v>
      </c>
      <c r="C15" s="8">
        <v>210057.61</v>
      </c>
      <c r="D15" s="8"/>
      <c r="E15" s="8"/>
      <c r="F15" s="6">
        <f t="shared" ref="F15:F53" si="1">C15+D15-E15</f>
        <v>210057.61</v>
      </c>
      <c r="G15" s="8">
        <v>28122.76</v>
      </c>
      <c r="H15" s="8">
        <v>0</v>
      </c>
      <c r="I15" s="8">
        <v>0</v>
      </c>
      <c r="J15" s="8">
        <v>0</v>
      </c>
      <c r="K15" s="8">
        <f t="shared" si="0"/>
        <v>28122.76</v>
      </c>
    </row>
    <row r="16" spans="2:16" ht="14.45" x14ac:dyDescent="0.3">
      <c r="B16" s="5">
        <v>42551</v>
      </c>
      <c r="C16" s="8">
        <v>196823.99</v>
      </c>
      <c r="D16" s="8">
        <v>2160.9299999999998</v>
      </c>
      <c r="E16" s="8">
        <v>0.02</v>
      </c>
      <c r="F16" s="6">
        <f t="shared" si="1"/>
        <v>198984.9</v>
      </c>
      <c r="G16" s="8">
        <f>404259.17</f>
        <v>404259.17</v>
      </c>
      <c r="H16" s="8">
        <v>0</v>
      </c>
      <c r="I16" s="8">
        <v>0</v>
      </c>
      <c r="J16" s="8">
        <v>0</v>
      </c>
      <c r="K16" s="8">
        <f t="shared" si="0"/>
        <v>404259.17</v>
      </c>
    </row>
    <row r="17" spans="2:13" ht="14.45" x14ac:dyDescent="0.3">
      <c r="B17" s="5">
        <v>42582</v>
      </c>
      <c r="C17" s="8">
        <v>193377.94</v>
      </c>
      <c r="D17" s="8">
        <v>1032.3499999999999</v>
      </c>
      <c r="E17" s="8">
        <v>615.6</v>
      </c>
      <c r="F17" s="6">
        <f t="shared" si="1"/>
        <v>193794.69</v>
      </c>
      <c r="G17" s="8">
        <v>28122.76</v>
      </c>
      <c r="H17" s="8">
        <v>0</v>
      </c>
      <c r="I17" s="8">
        <v>0</v>
      </c>
      <c r="J17" s="8">
        <v>0</v>
      </c>
      <c r="K17" s="8">
        <f t="shared" si="0"/>
        <v>28122.76</v>
      </c>
      <c r="M17" s="43"/>
    </row>
    <row r="18" spans="2:13" ht="14.45" x14ac:dyDescent="0.3">
      <c r="B18" s="5">
        <v>42613</v>
      </c>
      <c r="C18" s="8">
        <v>196068.8</v>
      </c>
      <c r="D18" s="8">
        <v>1990.64</v>
      </c>
      <c r="E18" s="8">
        <v>104.47</v>
      </c>
      <c r="F18" s="6">
        <f t="shared" si="1"/>
        <v>197954.97</v>
      </c>
      <c r="G18" s="8">
        <v>28122.76</v>
      </c>
      <c r="H18" s="8">
        <v>0</v>
      </c>
      <c r="I18" s="8">
        <v>0</v>
      </c>
      <c r="J18" s="8">
        <v>0</v>
      </c>
      <c r="K18" s="8">
        <f t="shared" si="0"/>
        <v>28122.76</v>
      </c>
    </row>
    <row r="19" spans="2:13" ht="14.45" x14ac:dyDescent="0.3">
      <c r="B19" s="5">
        <v>42643</v>
      </c>
      <c r="C19" s="9">
        <v>203254.91</v>
      </c>
      <c r="D19" s="9">
        <v>2893.22</v>
      </c>
      <c r="E19" s="9">
        <v>128.18</v>
      </c>
      <c r="F19" s="6">
        <f t="shared" si="1"/>
        <v>206019.95</v>
      </c>
      <c r="G19" s="8">
        <f>404259.17</f>
        <v>404259.17</v>
      </c>
      <c r="H19" s="9">
        <v>0</v>
      </c>
      <c r="I19" s="8">
        <v>0</v>
      </c>
      <c r="J19" s="8">
        <v>0</v>
      </c>
      <c r="K19" s="8">
        <f t="shared" si="0"/>
        <v>404259.17</v>
      </c>
    </row>
    <row r="20" spans="2:13" s="3" customFormat="1" ht="14.45" x14ac:dyDescent="0.3">
      <c r="B20" s="5">
        <v>42674</v>
      </c>
      <c r="C20" s="9">
        <v>198187.59</v>
      </c>
      <c r="D20" s="9">
        <v>2062.19</v>
      </c>
      <c r="E20" s="9">
        <v>1186.92</v>
      </c>
      <c r="F20" s="6">
        <f t="shared" si="1"/>
        <v>199062.86</v>
      </c>
      <c r="G20" s="8">
        <v>28122.76</v>
      </c>
      <c r="H20" s="9">
        <v>0</v>
      </c>
      <c r="I20" s="8">
        <v>0</v>
      </c>
      <c r="J20" s="8">
        <v>0</v>
      </c>
      <c r="K20" s="8">
        <f t="shared" si="0"/>
        <v>28122.76</v>
      </c>
    </row>
    <row r="21" spans="2:13" ht="14.45" x14ac:dyDescent="0.3">
      <c r="B21" s="5">
        <v>42704</v>
      </c>
      <c r="C21" s="9">
        <v>198880.37</v>
      </c>
      <c r="D21" s="9">
        <v>2483.29</v>
      </c>
      <c r="E21" s="9">
        <v>460.88</v>
      </c>
      <c r="F21" s="6">
        <f t="shared" si="1"/>
        <v>200902.78</v>
      </c>
      <c r="G21" s="8">
        <v>28122.76</v>
      </c>
      <c r="H21" s="9">
        <v>0</v>
      </c>
      <c r="I21" s="8">
        <v>0</v>
      </c>
      <c r="J21" s="8">
        <v>0</v>
      </c>
      <c r="K21" s="8">
        <f t="shared" si="0"/>
        <v>28122.76</v>
      </c>
    </row>
    <row r="22" spans="2:13" ht="14.45" x14ac:dyDescent="0.3">
      <c r="B22" s="5">
        <v>42735</v>
      </c>
      <c r="C22" s="9">
        <v>202823.04000000001</v>
      </c>
      <c r="D22" s="9">
        <v>4539.5600000000004</v>
      </c>
      <c r="E22" s="9">
        <v>97.74</v>
      </c>
      <c r="F22" s="6">
        <f t="shared" si="1"/>
        <v>207264.86000000002</v>
      </c>
      <c r="G22" s="9">
        <v>404259.23</v>
      </c>
      <c r="H22" s="9">
        <v>0</v>
      </c>
      <c r="I22" s="8">
        <v>0</v>
      </c>
      <c r="J22" s="8">
        <v>0</v>
      </c>
      <c r="K22" s="8">
        <f t="shared" si="0"/>
        <v>404259.23</v>
      </c>
    </row>
    <row r="23" spans="2:13" ht="14.45" x14ac:dyDescent="0.3">
      <c r="B23" s="5">
        <v>42766</v>
      </c>
      <c r="C23" s="9">
        <v>221331.62</v>
      </c>
      <c r="D23" s="9">
        <v>3122.99</v>
      </c>
      <c r="E23" s="9">
        <v>1207.8399999999999</v>
      </c>
      <c r="F23" s="6">
        <f t="shared" si="1"/>
        <v>223246.77</v>
      </c>
      <c r="G23" s="9">
        <v>0</v>
      </c>
      <c r="H23" s="9">
        <v>0</v>
      </c>
      <c r="I23" s="8">
        <v>0</v>
      </c>
      <c r="J23" s="8">
        <v>0</v>
      </c>
      <c r="K23" s="8">
        <f t="shared" si="0"/>
        <v>0</v>
      </c>
    </row>
    <row r="24" spans="2:13" ht="14.45" x14ac:dyDescent="0.3">
      <c r="B24" s="5">
        <v>42794</v>
      </c>
      <c r="C24" s="9">
        <v>207579.64</v>
      </c>
      <c r="D24" s="9">
        <v>3436.78</v>
      </c>
      <c r="E24" s="9">
        <v>0</v>
      </c>
      <c r="F24" s="6">
        <f t="shared" si="1"/>
        <v>211016.42</v>
      </c>
      <c r="G24" s="9">
        <v>0</v>
      </c>
      <c r="H24" s="9">
        <v>0</v>
      </c>
      <c r="I24" s="8">
        <v>0</v>
      </c>
      <c r="J24" s="8">
        <v>0</v>
      </c>
      <c r="K24" s="8">
        <f t="shared" si="0"/>
        <v>0</v>
      </c>
    </row>
    <row r="25" spans="2:13" ht="14.45" x14ac:dyDescent="0.3">
      <c r="B25" s="5">
        <v>42825</v>
      </c>
      <c r="C25" s="9">
        <v>212097.59</v>
      </c>
      <c r="D25" s="9">
        <v>6188.92</v>
      </c>
      <c r="E25" s="9">
        <v>0</v>
      </c>
      <c r="F25" s="6">
        <f t="shared" si="1"/>
        <v>218286.51</v>
      </c>
      <c r="G25" s="9">
        <v>282105.28000000003</v>
      </c>
      <c r="H25" s="9">
        <v>16182.86</v>
      </c>
      <c r="I25" s="8">
        <v>0</v>
      </c>
      <c r="J25" s="8">
        <v>0</v>
      </c>
      <c r="K25" s="8">
        <f t="shared" si="0"/>
        <v>298288.14</v>
      </c>
    </row>
    <row r="26" spans="2:13" ht="14.45" x14ac:dyDescent="0.3">
      <c r="B26" s="5">
        <v>42855</v>
      </c>
      <c r="C26" s="9">
        <v>217197.35</v>
      </c>
      <c r="D26" s="9">
        <v>4649.05</v>
      </c>
      <c r="E26" s="9">
        <v>1912.08</v>
      </c>
      <c r="F26" s="6">
        <f t="shared" si="1"/>
        <v>219934.32</v>
      </c>
      <c r="G26" s="9">
        <v>0</v>
      </c>
      <c r="H26" s="9">
        <v>0</v>
      </c>
      <c r="I26" s="8">
        <v>0</v>
      </c>
      <c r="J26" s="8">
        <v>0</v>
      </c>
      <c r="K26" s="8">
        <f t="shared" si="0"/>
        <v>0</v>
      </c>
    </row>
    <row r="27" spans="2:13" ht="14.45" x14ac:dyDescent="0.3">
      <c r="B27" s="5">
        <v>42886</v>
      </c>
      <c r="C27" s="9">
        <v>203584.9</v>
      </c>
      <c r="D27" s="9">
        <v>6224.64</v>
      </c>
      <c r="E27" s="9">
        <v>2295.75</v>
      </c>
      <c r="F27" s="6">
        <f t="shared" si="1"/>
        <v>207513.79</v>
      </c>
      <c r="G27" s="9">
        <v>69982.48</v>
      </c>
      <c r="H27" s="9">
        <v>26129.4</v>
      </c>
      <c r="I27" s="8">
        <v>0</v>
      </c>
      <c r="J27" s="8">
        <v>0</v>
      </c>
      <c r="K27" s="8">
        <f t="shared" si="0"/>
        <v>96111.88</v>
      </c>
    </row>
    <row r="28" spans="2:13" ht="14.45" x14ac:dyDescent="0.3">
      <c r="B28" s="5">
        <v>42916</v>
      </c>
      <c r="C28" s="9">
        <v>210199.53</v>
      </c>
      <c r="D28" s="9">
        <v>6725.41</v>
      </c>
      <c r="E28" s="9">
        <v>87.11</v>
      </c>
      <c r="F28" s="6">
        <f t="shared" si="1"/>
        <v>216837.83000000002</v>
      </c>
      <c r="G28" s="9">
        <f>282105.28+34991.24</f>
        <v>317096.52</v>
      </c>
      <c r="H28" s="9">
        <v>0</v>
      </c>
      <c r="I28" s="8">
        <v>0</v>
      </c>
      <c r="J28" s="8">
        <v>0</v>
      </c>
      <c r="K28" s="8">
        <f t="shared" si="0"/>
        <v>317096.52</v>
      </c>
    </row>
    <row r="29" spans="2:13" ht="14.45" x14ac:dyDescent="0.3">
      <c r="B29" s="5">
        <v>42947</v>
      </c>
      <c r="C29" s="9">
        <v>211868.9</v>
      </c>
      <c r="D29" s="9">
        <v>6005.44</v>
      </c>
      <c r="E29" s="9">
        <v>1115.0899999999999</v>
      </c>
      <c r="F29" s="6">
        <f t="shared" si="1"/>
        <v>216759.25</v>
      </c>
      <c r="G29" s="9">
        <v>34991.24</v>
      </c>
      <c r="H29" s="9">
        <v>0</v>
      </c>
      <c r="I29" s="8">
        <v>0</v>
      </c>
      <c r="J29" s="8">
        <v>0</v>
      </c>
      <c r="K29" s="8">
        <f t="shared" si="0"/>
        <v>34991.24</v>
      </c>
    </row>
    <row r="30" spans="2:13" ht="14.45" x14ac:dyDescent="0.3">
      <c r="B30" s="5">
        <v>42978</v>
      </c>
      <c r="C30" s="9">
        <v>216503.51</v>
      </c>
      <c r="D30" s="9">
        <v>6582.77</v>
      </c>
      <c r="E30" s="9">
        <v>280.18</v>
      </c>
      <c r="F30" s="6">
        <f t="shared" si="1"/>
        <v>222806.1</v>
      </c>
      <c r="G30" s="9">
        <v>34991.24</v>
      </c>
      <c r="H30" s="9">
        <v>18043.41</v>
      </c>
      <c r="I30" s="8">
        <v>0</v>
      </c>
      <c r="J30" s="8">
        <v>0</v>
      </c>
      <c r="K30" s="8">
        <f t="shared" si="0"/>
        <v>53034.649999999994</v>
      </c>
    </row>
    <row r="31" spans="2:13" ht="14.45" x14ac:dyDescent="0.3">
      <c r="B31" s="5">
        <v>43008</v>
      </c>
      <c r="C31" s="9">
        <v>224545.57</v>
      </c>
      <c r="D31" s="9">
        <v>6116.76</v>
      </c>
      <c r="E31" s="9">
        <v>0</v>
      </c>
      <c r="F31" s="6">
        <f t="shared" si="1"/>
        <v>230662.33000000002</v>
      </c>
      <c r="G31" s="9">
        <v>317096.52</v>
      </c>
      <c r="H31" s="9">
        <v>9969.19</v>
      </c>
      <c r="I31" s="8">
        <v>0</v>
      </c>
      <c r="J31" s="8">
        <v>0</v>
      </c>
      <c r="K31" s="8">
        <f t="shared" si="0"/>
        <v>327065.71000000002</v>
      </c>
    </row>
    <row r="32" spans="2:13" ht="14.45" x14ac:dyDescent="0.3">
      <c r="B32" s="5">
        <v>43039</v>
      </c>
      <c r="C32" s="9">
        <v>232959.99</v>
      </c>
      <c r="D32" s="9">
        <v>6001.9</v>
      </c>
      <c r="E32" s="9">
        <v>1836.89</v>
      </c>
      <c r="F32" s="6">
        <f t="shared" si="1"/>
        <v>237124.99999999997</v>
      </c>
      <c r="G32" s="9">
        <v>34991.24</v>
      </c>
      <c r="H32" s="9">
        <v>0</v>
      </c>
      <c r="I32" s="8">
        <v>0</v>
      </c>
      <c r="J32" s="8">
        <v>0</v>
      </c>
      <c r="K32" s="8">
        <f t="shared" si="0"/>
        <v>34991.24</v>
      </c>
    </row>
    <row r="33" spans="2:13" ht="14.45" x14ac:dyDescent="0.3">
      <c r="B33" s="5">
        <v>43069</v>
      </c>
      <c r="C33" s="9">
        <v>227418.63</v>
      </c>
      <c r="D33" s="9">
        <v>5606.89</v>
      </c>
      <c r="E33" s="9">
        <v>3904.86</v>
      </c>
      <c r="F33" s="6">
        <f t="shared" si="1"/>
        <v>229120.66000000003</v>
      </c>
      <c r="G33" s="9">
        <v>34991.24</v>
      </c>
      <c r="H33" s="9"/>
      <c r="I33" s="8">
        <v>0</v>
      </c>
      <c r="J33" s="8">
        <v>0</v>
      </c>
      <c r="K33" s="8">
        <f t="shared" si="0"/>
        <v>34991.24</v>
      </c>
    </row>
    <row r="34" spans="2:13" ht="14.45" x14ac:dyDescent="0.3">
      <c r="B34" s="5">
        <v>43100</v>
      </c>
      <c r="C34" s="9">
        <v>209998.07999999999</v>
      </c>
      <c r="D34" s="9">
        <v>6065.2</v>
      </c>
      <c r="E34" s="9">
        <v>100.35</v>
      </c>
      <c r="F34" s="6">
        <f t="shared" si="1"/>
        <v>215962.93</v>
      </c>
      <c r="G34" s="9">
        <v>317096.52</v>
      </c>
      <c r="H34" s="9">
        <v>3235.05</v>
      </c>
      <c r="I34" s="8">
        <v>0</v>
      </c>
      <c r="J34" s="8">
        <v>0</v>
      </c>
      <c r="K34" s="8">
        <f t="shared" si="0"/>
        <v>320331.57</v>
      </c>
      <c r="M34" s="43"/>
    </row>
    <row r="35" spans="2:13" ht="14.45" x14ac:dyDescent="0.3">
      <c r="B35" s="5">
        <v>43131</v>
      </c>
      <c r="C35" s="9">
        <v>214545.63</v>
      </c>
      <c r="D35" s="9">
        <v>5418.26</v>
      </c>
      <c r="E35" s="9">
        <v>804.36</v>
      </c>
      <c r="F35" s="6">
        <f t="shared" si="1"/>
        <v>219159.53000000003</v>
      </c>
      <c r="G35" s="9">
        <v>0</v>
      </c>
      <c r="H35" s="9">
        <v>0</v>
      </c>
      <c r="I35" s="8">
        <v>0</v>
      </c>
      <c r="J35" s="8">
        <v>0</v>
      </c>
      <c r="K35" s="8">
        <f t="shared" si="0"/>
        <v>0</v>
      </c>
    </row>
    <row r="36" spans="2:13" ht="14.45" x14ac:dyDescent="0.3">
      <c r="B36" s="5">
        <v>43159</v>
      </c>
      <c r="C36" s="9">
        <v>223189.8</v>
      </c>
      <c r="D36" s="9">
        <v>5569.45</v>
      </c>
      <c r="E36" s="9">
        <v>1.96</v>
      </c>
      <c r="F36" s="6">
        <f t="shared" si="1"/>
        <v>228757.29</v>
      </c>
      <c r="G36" s="9">
        <v>0</v>
      </c>
      <c r="H36" s="9">
        <v>0</v>
      </c>
      <c r="I36" s="8">
        <v>0</v>
      </c>
      <c r="J36" s="8">
        <v>0</v>
      </c>
      <c r="K36" s="8">
        <f t="shared" si="0"/>
        <v>0</v>
      </c>
    </row>
    <row r="37" spans="2:13" ht="14.45" x14ac:dyDescent="0.3">
      <c r="B37" s="5">
        <v>43190</v>
      </c>
      <c r="C37" s="9">
        <v>214654.378</v>
      </c>
      <c r="D37" s="9">
        <v>7323.01</v>
      </c>
      <c r="E37" s="9">
        <v>1247.58</v>
      </c>
      <c r="F37" s="6">
        <f t="shared" si="1"/>
        <v>220729.80800000002</v>
      </c>
      <c r="G37" s="9">
        <v>282105.28000000003</v>
      </c>
      <c r="H37" s="9">
        <v>2508.1999999999998</v>
      </c>
      <c r="I37" s="8">
        <v>0</v>
      </c>
      <c r="J37" s="8">
        <v>0</v>
      </c>
      <c r="K37" s="8">
        <f t="shared" si="0"/>
        <v>284613.48000000004</v>
      </c>
    </row>
    <row r="38" spans="2:13" ht="14.45" x14ac:dyDescent="0.3">
      <c r="B38" s="5">
        <v>43220</v>
      </c>
      <c r="C38" s="9">
        <v>222339.75</v>
      </c>
      <c r="D38" s="9">
        <v>6859.47</v>
      </c>
      <c r="E38" s="9">
        <v>5655.52</v>
      </c>
      <c r="F38" s="6">
        <f t="shared" si="1"/>
        <v>223543.7</v>
      </c>
      <c r="G38" s="9">
        <v>35936.01</v>
      </c>
      <c r="H38" s="9">
        <v>3535.2</v>
      </c>
      <c r="I38" s="8">
        <v>0</v>
      </c>
      <c r="J38" s="8">
        <v>0</v>
      </c>
      <c r="K38" s="8">
        <f t="shared" si="0"/>
        <v>39471.21</v>
      </c>
    </row>
    <row r="39" spans="2:13" ht="14.45" x14ac:dyDescent="0.3">
      <c r="B39" s="5">
        <v>43251</v>
      </c>
      <c r="C39" s="9">
        <v>208510.88</v>
      </c>
      <c r="D39" s="9">
        <v>7266.23</v>
      </c>
      <c r="E39" s="9">
        <f>1090.1</f>
        <v>1090.0999999999999</v>
      </c>
      <c r="F39" s="6">
        <f t="shared" si="1"/>
        <v>214687.01</v>
      </c>
      <c r="G39" s="9">
        <v>35936.01</v>
      </c>
      <c r="H39" s="9">
        <v>0</v>
      </c>
      <c r="I39" s="8">
        <v>0</v>
      </c>
      <c r="J39" s="8">
        <v>0</v>
      </c>
      <c r="K39" s="8">
        <f t="shared" si="0"/>
        <v>35936.01</v>
      </c>
    </row>
    <row r="40" spans="2:13" ht="14.45" x14ac:dyDescent="0.3">
      <c r="B40" s="5">
        <v>43281</v>
      </c>
      <c r="C40" s="9">
        <v>215796.73</v>
      </c>
      <c r="D40" s="9">
        <v>8372.74</v>
      </c>
      <c r="E40" s="9">
        <v>0</v>
      </c>
      <c r="F40" s="6">
        <f t="shared" si="1"/>
        <v>224169.47</v>
      </c>
      <c r="G40" s="9">
        <f>318031.54</f>
        <v>318031.53999999998</v>
      </c>
      <c r="H40" s="9">
        <v>3647.9</v>
      </c>
      <c r="I40" s="8">
        <v>0</v>
      </c>
      <c r="J40" s="8">
        <v>0</v>
      </c>
      <c r="K40" s="8">
        <f t="shared" si="0"/>
        <v>321679.44</v>
      </c>
    </row>
    <row r="41" spans="2:13" ht="14.45" x14ac:dyDescent="0.3">
      <c r="B41" s="5">
        <v>43312</v>
      </c>
      <c r="C41" s="9">
        <v>229395.02</v>
      </c>
      <c r="D41" s="9">
        <v>8548.5</v>
      </c>
      <c r="E41" s="9">
        <v>443.84</v>
      </c>
      <c r="F41" s="6">
        <f t="shared" si="1"/>
        <v>237499.68</v>
      </c>
      <c r="G41" s="9">
        <v>35936.01</v>
      </c>
      <c r="H41" s="9">
        <v>0</v>
      </c>
      <c r="I41" s="8">
        <v>0</v>
      </c>
      <c r="J41" s="8">
        <v>2300</v>
      </c>
      <c r="K41" s="8">
        <f t="shared" ref="K41:K65" si="2">G41+H41+I41+J41</f>
        <v>38236.01</v>
      </c>
    </row>
    <row r="42" spans="2:13" ht="14.45" x14ac:dyDescent="0.3">
      <c r="B42" s="5">
        <v>43343</v>
      </c>
      <c r="C42" s="9">
        <v>205164.59</v>
      </c>
      <c r="D42" s="9">
        <v>9496.59</v>
      </c>
      <c r="E42" s="9">
        <v>109.9</v>
      </c>
      <c r="F42" s="6">
        <f t="shared" si="1"/>
        <v>214551.28</v>
      </c>
      <c r="G42" s="9">
        <v>35936.01</v>
      </c>
      <c r="H42" s="9">
        <v>2054</v>
      </c>
      <c r="I42" s="8">
        <v>0</v>
      </c>
      <c r="J42" s="8">
        <v>0</v>
      </c>
      <c r="K42" s="8">
        <f t="shared" si="2"/>
        <v>37990.01</v>
      </c>
    </row>
    <row r="43" spans="2:13" ht="14.45" x14ac:dyDescent="0.3">
      <c r="B43" s="5">
        <v>43373</v>
      </c>
      <c r="C43" s="9">
        <v>218853.15</v>
      </c>
      <c r="D43" s="9">
        <v>8461.2000000000007</v>
      </c>
      <c r="E43" s="9">
        <v>7.2</v>
      </c>
      <c r="F43" s="6">
        <f t="shared" si="1"/>
        <v>227307.15</v>
      </c>
      <c r="G43" s="9">
        <v>318031.53999999998</v>
      </c>
      <c r="H43" s="9">
        <v>0</v>
      </c>
      <c r="I43" s="8">
        <v>0</v>
      </c>
      <c r="J43" s="8">
        <v>0</v>
      </c>
      <c r="K43" s="8">
        <f t="shared" si="2"/>
        <v>318031.53999999998</v>
      </c>
    </row>
    <row r="44" spans="2:13" ht="14.45" x14ac:dyDescent="0.3">
      <c r="B44" s="5">
        <v>43404</v>
      </c>
      <c r="C44" s="9">
        <v>232858.52</v>
      </c>
      <c r="D44" s="9">
        <v>9602.73</v>
      </c>
      <c r="E44" s="9">
        <v>457.94</v>
      </c>
      <c r="F44" s="6">
        <f t="shared" si="1"/>
        <v>242003.31</v>
      </c>
      <c r="G44" s="9">
        <v>35936.01</v>
      </c>
      <c r="H44" s="9">
        <v>0</v>
      </c>
      <c r="I44" s="8">
        <v>0</v>
      </c>
      <c r="J44" s="8">
        <v>0</v>
      </c>
      <c r="K44" s="8">
        <f t="shared" si="2"/>
        <v>35936.01</v>
      </c>
    </row>
    <row r="45" spans="2:13" ht="14.45" x14ac:dyDescent="0.3">
      <c r="B45" s="5">
        <v>43434</v>
      </c>
      <c r="C45" s="9">
        <v>232008.41</v>
      </c>
      <c r="D45" s="9">
        <v>8617.57</v>
      </c>
      <c r="E45" s="9">
        <v>7374.54</v>
      </c>
      <c r="F45" s="6">
        <f t="shared" si="1"/>
        <v>233251.44</v>
      </c>
      <c r="G45" s="9">
        <v>35936.01</v>
      </c>
      <c r="H45" s="9">
        <v>0</v>
      </c>
      <c r="I45" s="8">
        <v>0</v>
      </c>
      <c r="J45" s="8">
        <v>0</v>
      </c>
      <c r="K45" s="8">
        <f t="shared" si="2"/>
        <v>35936.01</v>
      </c>
    </row>
    <row r="46" spans="2:13" ht="14.45" x14ac:dyDescent="0.3">
      <c r="B46" s="5">
        <v>43465</v>
      </c>
      <c r="C46" s="9">
        <v>225626.84</v>
      </c>
      <c r="D46" s="9">
        <v>9533.69</v>
      </c>
      <c r="E46" s="9">
        <v>55.28</v>
      </c>
      <c r="F46" s="6">
        <f t="shared" si="1"/>
        <v>235105.25</v>
      </c>
      <c r="G46" s="9">
        <f>318068.29+17616.3</f>
        <v>335684.58999999997</v>
      </c>
      <c r="H46" s="9">
        <v>6265.58</v>
      </c>
      <c r="I46" s="8">
        <v>0</v>
      </c>
      <c r="J46" s="8">
        <v>0</v>
      </c>
      <c r="K46" s="8">
        <f t="shared" si="2"/>
        <v>341950.17</v>
      </c>
    </row>
    <row r="47" spans="2:13" ht="14.45" x14ac:dyDescent="0.3">
      <c r="B47" s="5">
        <v>43496</v>
      </c>
      <c r="C47" s="9">
        <v>232621.53</v>
      </c>
      <c r="D47" s="9">
        <v>10367.15</v>
      </c>
      <c r="E47" s="9">
        <v>709.71</v>
      </c>
      <c r="F47" s="6">
        <f t="shared" si="1"/>
        <v>242278.97</v>
      </c>
      <c r="G47" s="9">
        <v>0</v>
      </c>
      <c r="H47" s="9">
        <v>0</v>
      </c>
      <c r="I47" s="8">
        <v>0</v>
      </c>
      <c r="J47" s="8">
        <v>0</v>
      </c>
      <c r="K47" s="8">
        <f t="shared" si="2"/>
        <v>0</v>
      </c>
    </row>
    <row r="48" spans="2:13" ht="14.45" x14ac:dyDescent="0.3">
      <c r="B48" s="5">
        <v>43524</v>
      </c>
      <c r="C48" s="9">
        <v>226825.89</v>
      </c>
      <c r="D48" s="9">
        <v>10543.21</v>
      </c>
      <c r="E48" s="9"/>
      <c r="F48" s="6">
        <f t="shared" si="1"/>
        <v>237369.1</v>
      </c>
      <c r="G48" s="9">
        <v>0</v>
      </c>
      <c r="H48" s="9">
        <v>0</v>
      </c>
      <c r="I48" s="8">
        <v>0</v>
      </c>
      <c r="J48" s="8">
        <v>0</v>
      </c>
      <c r="K48" s="8">
        <f t="shared" si="2"/>
        <v>0</v>
      </c>
    </row>
    <row r="49" spans="2:11" ht="14.45" x14ac:dyDescent="0.3">
      <c r="B49" s="5">
        <v>43555</v>
      </c>
      <c r="C49" s="9">
        <v>228553.55</v>
      </c>
      <c r="D49" s="9">
        <v>10542.55</v>
      </c>
      <c r="E49" s="9"/>
      <c r="F49" s="6">
        <f t="shared" si="1"/>
        <v>239096.09999999998</v>
      </c>
      <c r="G49" s="9">
        <v>308519.98</v>
      </c>
      <c r="H49" s="9">
        <v>0</v>
      </c>
      <c r="I49" s="8">
        <v>0</v>
      </c>
      <c r="J49" s="8">
        <v>0</v>
      </c>
      <c r="K49" s="8">
        <f t="shared" si="2"/>
        <v>308519.98</v>
      </c>
    </row>
    <row r="50" spans="2:11" ht="14.45" x14ac:dyDescent="0.3">
      <c r="B50" s="5">
        <v>43585</v>
      </c>
      <c r="C50" s="9">
        <v>227510.12</v>
      </c>
      <c r="D50" s="9">
        <v>11902.25</v>
      </c>
      <c r="E50" s="9">
        <v>367.94</v>
      </c>
      <c r="F50" s="6">
        <f t="shared" si="1"/>
        <v>239044.43</v>
      </c>
      <c r="G50" s="9">
        <v>0</v>
      </c>
      <c r="H50" s="9">
        <v>0</v>
      </c>
      <c r="I50" s="8">
        <v>0</v>
      </c>
      <c r="J50" s="8">
        <v>0</v>
      </c>
      <c r="K50" s="8">
        <f t="shared" si="2"/>
        <v>0</v>
      </c>
    </row>
    <row r="51" spans="2:11" ht="14.45" x14ac:dyDescent="0.3">
      <c r="B51" s="5">
        <v>43616</v>
      </c>
      <c r="C51" s="9">
        <v>234181.46</v>
      </c>
      <c r="D51" s="9">
        <v>13339.16</v>
      </c>
      <c r="E51" s="9">
        <v>9510.68</v>
      </c>
      <c r="F51" s="6">
        <f t="shared" si="1"/>
        <v>238009.94</v>
      </c>
      <c r="G51" s="9">
        <v>46712.7</v>
      </c>
      <c r="H51" s="9">
        <v>5669.7</v>
      </c>
      <c r="I51" s="8">
        <v>0</v>
      </c>
      <c r="J51" s="8">
        <v>0</v>
      </c>
      <c r="K51" s="8">
        <f t="shared" si="2"/>
        <v>52382.399999999994</v>
      </c>
    </row>
    <row r="52" spans="2:11" ht="14.45" x14ac:dyDescent="0.3">
      <c r="B52" s="5">
        <v>43646</v>
      </c>
      <c r="C52" s="9">
        <v>231162.4</v>
      </c>
      <c r="D52" s="9">
        <v>12141.5</v>
      </c>
      <c r="E52" s="9">
        <v>7.41</v>
      </c>
      <c r="F52" s="6">
        <f t="shared" si="1"/>
        <v>243296.49</v>
      </c>
      <c r="G52" s="9">
        <v>328819.01</v>
      </c>
      <c r="H52" s="9">
        <v>0</v>
      </c>
      <c r="I52" s="8">
        <v>0</v>
      </c>
      <c r="J52" s="8">
        <v>0</v>
      </c>
      <c r="K52" s="8">
        <f t="shared" si="2"/>
        <v>328819.01</v>
      </c>
    </row>
    <row r="53" spans="2:11" ht="14.45" x14ac:dyDescent="0.3">
      <c r="B53" s="5">
        <v>43677</v>
      </c>
      <c r="C53" s="9">
        <v>233996.01</v>
      </c>
      <c r="D53" s="9">
        <v>14424.02</v>
      </c>
      <c r="E53" s="9">
        <v>191.78</v>
      </c>
      <c r="F53" s="6">
        <f t="shared" si="1"/>
        <v>248228.25</v>
      </c>
      <c r="G53" s="9">
        <v>0</v>
      </c>
      <c r="H53" s="9">
        <v>4642.7</v>
      </c>
      <c r="I53" s="8">
        <v>0</v>
      </c>
      <c r="J53" s="8">
        <v>0</v>
      </c>
      <c r="K53" s="8">
        <f t="shared" si="2"/>
        <v>4642.7</v>
      </c>
    </row>
    <row r="54" spans="2:11" ht="14.45" x14ac:dyDescent="0.3">
      <c r="B54" s="5">
        <v>43708</v>
      </c>
      <c r="C54" s="9">
        <v>237230.52</v>
      </c>
      <c r="D54" s="9">
        <v>13388.87</v>
      </c>
      <c r="E54" s="9">
        <v>13.29</v>
      </c>
      <c r="F54" s="6">
        <f t="shared" ref="F54:F74" si="3">C54+D54-E54</f>
        <v>250606.09999999998</v>
      </c>
      <c r="G54" s="9">
        <v>0</v>
      </c>
      <c r="H54" s="9">
        <v>0</v>
      </c>
      <c r="I54" s="8">
        <v>0</v>
      </c>
      <c r="J54" s="8">
        <v>0</v>
      </c>
      <c r="K54" s="8">
        <f t="shared" si="2"/>
        <v>0</v>
      </c>
    </row>
    <row r="55" spans="2:11" ht="14.45" x14ac:dyDescent="0.3">
      <c r="B55" s="5">
        <v>43738</v>
      </c>
      <c r="C55" s="9">
        <v>245944.32000000001</v>
      </c>
      <c r="D55" s="9">
        <v>12939.22</v>
      </c>
      <c r="E55" s="9">
        <v>0</v>
      </c>
      <c r="F55" s="6">
        <f t="shared" si="3"/>
        <v>258883.54</v>
      </c>
      <c r="G55" s="9">
        <v>282106.31</v>
      </c>
      <c r="H55" s="9">
        <v>0</v>
      </c>
      <c r="I55" s="8">
        <v>0</v>
      </c>
      <c r="J55" s="8">
        <v>0</v>
      </c>
      <c r="K55" s="8">
        <f t="shared" si="2"/>
        <v>282106.31</v>
      </c>
    </row>
    <row r="56" spans="2:11" ht="14.45" x14ac:dyDescent="0.3">
      <c r="B56" s="5">
        <v>43769</v>
      </c>
      <c r="C56" s="9">
        <v>243181.66</v>
      </c>
      <c r="D56" s="9">
        <v>12720.28</v>
      </c>
      <c r="E56" s="9">
        <v>178.06</v>
      </c>
      <c r="F56" s="6">
        <f t="shared" si="3"/>
        <v>255723.88</v>
      </c>
      <c r="G56" s="9">
        <v>114651.65</v>
      </c>
      <c r="H56" s="9">
        <v>0</v>
      </c>
      <c r="I56" s="8">
        <v>0</v>
      </c>
      <c r="J56" s="8">
        <v>0</v>
      </c>
      <c r="K56" s="8">
        <f t="shared" si="2"/>
        <v>114651.65</v>
      </c>
    </row>
    <row r="57" spans="2:11" ht="14.45" x14ac:dyDescent="0.3">
      <c r="B57" s="5">
        <v>43799</v>
      </c>
      <c r="C57" s="9">
        <v>260679.67</v>
      </c>
      <c r="D57" s="9">
        <v>9682.2900000000009</v>
      </c>
      <c r="E57" s="9">
        <v>11116.41</v>
      </c>
      <c r="F57" s="6">
        <f t="shared" si="3"/>
        <v>259245.55000000002</v>
      </c>
      <c r="G57" s="9">
        <v>114651.65</v>
      </c>
      <c r="H57" s="9">
        <v>24225.68</v>
      </c>
      <c r="I57" s="8">
        <v>0</v>
      </c>
      <c r="J57" s="8">
        <v>0</v>
      </c>
      <c r="K57" s="8">
        <f t="shared" si="2"/>
        <v>138877.32999999999</v>
      </c>
    </row>
    <row r="58" spans="2:11" ht="14.45" x14ac:dyDescent="0.3">
      <c r="B58" s="5">
        <v>43830</v>
      </c>
      <c r="C58" s="9">
        <v>240516.09</v>
      </c>
      <c r="D58" s="9">
        <v>9898.58</v>
      </c>
      <c r="E58" s="9">
        <v>253.39</v>
      </c>
      <c r="F58" s="6">
        <f t="shared" si="3"/>
        <v>250161.27999999997</v>
      </c>
      <c r="G58" s="9">
        <v>396757.97</v>
      </c>
      <c r="H58" s="9">
        <v>96030.25</v>
      </c>
      <c r="I58" s="8">
        <v>0</v>
      </c>
      <c r="J58" s="8">
        <v>0</v>
      </c>
      <c r="K58" s="8">
        <f t="shared" si="2"/>
        <v>492788.22</v>
      </c>
    </row>
    <row r="59" spans="2:11" ht="14.45" x14ac:dyDescent="0.3">
      <c r="B59" s="5">
        <v>43861</v>
      </c>
      <c r="C59" s="9">
        <v>250119.97164767011</v>
      </c>
      <c r="D59" s="9">
        <v>9668.7999999999993</v>
      </c>
      <c r="E59" s="9">
        <v>858.7</v>
      </c>
      <c r="F59" s="6">
        <f t="shared" si="3"/>
        <v>258930.07164767009</v>
      </c>
      <c r="G59" s="9">
        <v>0</v>
      </c>
      <c r="H59" s="9">
        <v>56524.87</v>
      </c>
      <c r="I59" s="8">
        <v>0</v>
      </c>
      <c r="J59" s="8"/>
      <c r="K59" s="8">
        <f t="shared" si="2"/>
        <v>56524.87</v>
      </c>
    </row>
    <row r="60" spans="2:11" ht="14.45" x14ac:dyDescent="0.3">
      <c r="B60" s="5">
        <v>43890</v>
      </c>
      <c r="C60" s="9">
        <v>236412.62401765384</v>
      </c>
      <c r="D60" s="9">
        <v>7216.1</v>
      </c>
      <c r="E60" s="9">
        <v>153.41</v>
      </c>
      <c r="F60" s="6">
        <f t="shared" si="3"/>
        <v>243475.31401765384</v>
      </c>
      <c r="G60" s="9">
        <v>0</v>
      </c>
      <c r="H60" s="9">
        <v>7012.98</v>
      </c>
      <c r="I60" s="8">
        <v>0</v>
      </c>
      <c r="J60" s="8">
        <v>0</v>
      </c>
      <c r="K60" s="8">
        <f t="shared" si="2"/>
        <v>7012.98</v>
      </c>
    </row>
    <row r="61" spans="2:11" ht="14.45" x14ac:dyDescent="0.3">
      <c r="B61" s="5">
        <v>43921</v>
      </c>
      <c r="C61" s="9">
        <v>238004.65</v>
      </c>
      <c r="D61" s="9">
        <v>7063.95</v>
      </c>
      <c r="E61" s="9">
        <v>21.93</v>
      </c>
      <c r="F61" s="6">
        <f t="shared" si="3"/>
        <v>245046.67</v>
      </c>
      <c r="G61" s="9">
        <v>0</v>
      </c>
      <c r="H61" s="9">
        <v>0</v>
      </c>
      <c r="I61" s="9">
        <v>0</v>
      </c>
      <c r="J61" s="8">
        <v>42</v>
      </c>
      <c r="K61" s="8">
        <f t="shared" si="2"/>
        <v>42</v>
      </c>
    </row>
    <row r="62" spans="2:11" ht="14.45" x14ac:dyDescent="0.3">
      <c r="B62" s="5">
        <v>43951</v>
      </c>
      <c r="C62" s="9">
        <v>98742.922200000015</v>
      </c>
      <c r="D62" s="9">
        <v>3813.56</v>
      </c>
      <c r="E62" s="9">
        <v>0.05</v>
      </c>
      <c r="F62" s="6">
        <f>C62+D62-E62</f>
        <v>102556.43220000001</v>
      </c>
      <c r="G62" s="9">
        <v>282095.53000000003</v>
      </c>
      <c r="H62" s="9">
        <v>0</v>
      </c>
      <c r="I62" s="9">
        <v>0</v>
      </c>
      <c r="J62" s="8">
        <v>42</v>
      </c>
      <c r="K62" s="8">
        <f t="shared" si="2"/>
        <v>282137.53000000003</v>
      </c>
    </row>
    <row r="63" spans="2:11" ht="14.45" x14ac:dyDescent="0.3">
      <c r="B63" s="5">
        <v>43982</v>
      </c>
      <c r="C63" s="9">
        <f>95185.03025+0.39</f>
        <v>95185.420249999996</v>
      </c>
      <c r="D63" s="9">
        <v>7309.85</v>
      </c>
      <c r="E63" s="9">
        <v>6512.45</v>
      </c>
      <c r="F63" s="6">
        <f t="shared" si="3"/>
        <v>95982.820250000004</v>
      </c>
      <c r="G63" s="9">
        <v>0</v>
      </c>
      <c r="H63" s="9">
        <v>0</v>
      </c>
      <c r="I63" s="9">
        <v>0</v>
      </c>
      <c r="J63" s="8">
        <v>42</v>
      </c>
      <c r="K63" s="8">
        <f t="shared" si="2"/>
        <v>42</v>
      </c>
    </row>
    <row r="64" spans="2:11" ht="14.45" x14ac:dyDescent="0.3">
      <c r="B64" s="5">
        <v>44012</v>
      </c>
      <c r="C64" s="9">
        <v>94504.477700000003</v>
      </c>
      <c r="D64" s="9">
        <v>4738.83</v>
      </c>
      <c r="E64" s="9"/>
      <c r="F64" s="6">
        <f t="shared" si="3"/>
        <v>99243.307700000005</v>
      </c>
      <c r="G64" s="9">
        <v>0</v>
      </c>
      <c r="H64" s="9">
        <v>0</v>
      </c>
      <c r="I64" s="9">
        <v>0</v>
      </c>
      <c r="J64" s="8">
        <f>36.5+49</f>
        <v>85.5</v>
      </c>
      <c r="K64" s="8">
        <f t="shared" si="2"/>
        <v>85.5</v>
      </c>
    </row>
    <row r="65" spans="2:13" ht="14.45" x14ac:dyDescent="0.3">
      <c r="B65" s="5">
        <v>44043</v>
      </c>
      <c r="C65" s="9">
        <v>97291.53</v>
      </c>
      <c r="D65" s="9">
        <v>3354.06</v>
      </c>
      <c r="E65" s="9"/>
      <c r="F65" s="6">
        <f t="shared" si="3"/>
        <v>100645.59</v>
      </c>
      <c r="G65" s="9">
        <v>282095.53000000003</v>
      </c>
      <c r="H65" s="9">
        <v>0</v>
      </c>
      <c r="I65" s="9">
        <v>0</v>
      </c>
      <c r="J65" s="8">
        <v>0</v>
      </c>
      <c r="K65" s="8">
        <f t="shared" si="2"/>
        <v>282095.53000000003</v>
      </c>
    </row>
    <row r="66" spans="2:13" ht="14.45" x14ac:dyDescent="0.3">
      <c r="B66" s="5">
        <v>44074</v>
      </c>
      <c r="C66" s="9">
        <v>98781.3</v>
      </c>
      <c r="D66" s="9">
        <v>1514.21</v>
      </c>
      <c r="E66" s="9">
        <v>98.48</v>
      </c>
      <c r="F66" s="6">
        <f t="shared" si="3"/>
        <v>100197.03000000001</v>
      </c>
      <c r="G66" s="9">
        <v>744882.68</v>
      </c>
      <c r="H66" s="9">
        <v>0</v>
      </c>
      <c r="I66" s="9">
        <v>0</v>
      </c>
      <c r="J66" s="8">
        <v>0</v>
      </c>
      <c r="K66" s="8">
        <f>G66+H66+I66+J66</f>
        <v>744882.68</v>
      </c>
    </row>
    <row r="67" spans="2:13" ht="14.45" x14ac:dyDescent="0.3">
      <c r="B67" s="5">
        <v>44104</v>
      </c>
      <c r="C67" s="9">
        <v>103830.41</v>
      </c>
      <c r="D67" s="9">
        <v>-14902.48</v>
      </c>
      <c r="E67" s="9">
        <v>0</v>
      </c>
      <c r="F67" s="6">
        <f t="shared" si="3"/>
        <v>88927.930000000008</v>
      </c>
      <c r="G67" s="9">
        <v>0</v>
      </c>
      <c r="H67" s="9">
        <v>0</v>
      </c>
      <c r="I67" s="8">
        <v>0</v>
      </c>
      <c r="J67" s="8">
        <v>0</v>
      </c>
      <c r="K67" s="8">
        <f t="shared" ref="K67:K74" si="4">G67+H67+I67+J67</f>
        <v>0</v>
      </c>
      <c r="M67" s="43"/>
    </row>
    <row r="68" spans="2:13" ht="14.45" x14ac:dyDescent="0.3">
      <c r="B68" s="5">
        <v>44135</v>
      </c>
      <c r="C68" s="9">
        <v>103453.42</v>
      </c>
      <c r="D68" s="9">
        <v>-3379.46</v>
      </c>
      <c r="E68" s="9">
        <v>0</v>
      </c>
      <c r="F68" s="6">
        <f t="shared" si="3"/>
        <v>100073.95999999999</v>
      </c>
      <c r="G68" s="9">
        <v>0</v>
      </c>
      <c r="H68" s="9">
        <v>0</v>
      </c>
      <c r="I68" s="8">
        <v>0</v>
      </c>
      <c r="J68" s="8">
        <v>0</v>
      </c>
      <c r="K68" s="8">
        <f t="shared" si="4"/>
        <v>0</v>
      </c>
      <c r="M68" s="43"/>
    </row>
    <row r="69" spans="2:13" ht="14.45" x14ac:dyDescent="0.3">
      <c r="B69" s="5">
        <v>44165</v>
      </c>
      <c r="C69" s="9">
        <v>101706.63</v>
      </c>
      <c r="D69" s="9">
        <v>751.28</v>
      </c>
      <c r="E69" s="9">
        <v>0</v>
      </c>
      <c r="F69" s="6">
        <f t="shared" si="3"/>
        <v>102457.91</v>
      </c>
      <c r="G69" s="9">
        <v>0</v>
      </c>
      <c r="H69" s="9">
        <v>0</v>
      </c>
      <c r="I69" s="8">
        <v>0</v>
      </c>
      <c r="J69" s="8">
        <v>0</v>
      </c>
      <c r="K69" s="8">
        <f t="shared" si="4"/>
        <v>0</v>
      </c>
      <c r="M69" s="43"/>
    </row>
    <row r="70" spans="2:13" ht="14.45" x14ac:dyDescent="0.3">
      <c r="B70" s="5">
        <v>44196</v>
      </c>
      <c r="C70" s="9">
        <v>95893.31</v>
      </c>
      <c r="D70" s="9">
        <v>7406</v>
      </c>
      <c r="E70" s="9"/>
      <c r="F70" s="6">
        <f t="shared" si="3"/>
        <v>103299.31</v>
      </c>
      <c r="G70" s="9">
        <v>0</v>
      </c>
      <c r="H70" s="9">
        <v>0</v>
      </c>
      <c r="I70" s="8">
        <v>0</v>
      </c>
      <c r="J70" s="8">
        <v>0</v>
      </c>
      <c r="K70" s="8">
        <f t="shared" si="4"/>
        <v>0</v>
      </c>
      <c r="M70" s="43"/>
    </row>
    <row r="71" spans="2:13" ht="14.45" x14ac:dyDescent="0.3">
      <c r="B71" s="5">
        <v>44227</v>
      </c>
      <c r="C71" s="9">
        <v>102993.24</v>
      </c>
      <c r="D71" s="9">
        <v>4247.5600000000004</v>
      </c>
      <c r="E71" s="9"/>
      <c r="F71" s="6">
        <f t="shared" si="3"/>
        <v>107240.8</v>
      </c>
      <c r="G71" s="9">
        <v>17830</v>
      </c>
      <c r="H71" s="9">
        <v>0</v>
      </c>
      <c r="I71" s="8">
        <v>0</v>
      </c>
      <c r="J71" s="8">
        <v>0</v>
      </c>
      <c r="K71" s="8">
        <f t="shared" si="4"/>
        <v>17830</v>
      </c>
      <c r="M71" s="43"/>
    </row>
    <row r="72" spans="2:13" ht="14.45" x14ac:dyDescent="0.3">
      <c r="B72" s="5">
        <v>44255</v>
      </c>
      <c r="C72" s="9">
        <v>100354.26</v>
      </c>
      <c r="D72" s="9">
        <v>-839.96</v>
      </c>
      <c r="E72" s="9"/>
      <c r="F72" s="6">
        <f t="shared" si="3"/>
        <v>99514.299999999988</v>
      </c>
      <c r="G72" s="9">
        <v>15253.62</v>
      </c>
      <c r="H72" s="9">
        <v>0</v>
      </c>
      <c r="I72" s="8">
        <v>0</v>
      </c>
      <c r="J72" s="8">
        <v>0</v>
      </c>
      <c r="K72" s="8">
        <f t="shared" si="4"/>
        <v>15253.62</v>
      </c>
      <c r="M72" s="43"/>
    </row>
    <row r="73" spans="2:13" ht="14.45" x14ac:dyDescent="0.3">
      <c r="B73" s="5">
        <v>44286</v>
      </c>
      <c r="C73" s="9">
        <v>98272.8</v>
      </c>
      <c r="D73" s="9">
        <v>2433.8200000000002</v>
      </c>
      <c r="E73" s="9"/>
      <c r="F73" s="6">
        <f t="shared" si="3"/>
        <v>100706.62000000001</v>
      </c>
      <c r="G73" s="9">
        <v>33804.959999999999</v>
      </c>
      <c r="H73" s="9"/>
      <c r="I73" s="8"/>
      <c r="J73" s="8"/>
      <c r="K73" s="8">
        <f t="shared" si="4"/>
        <v>33804.959999999999</v>
      </c>
      <c r="M73" s="43"/>
    </row>
    <row r="74" spans="2:13" ht="14.45" x14ac:dyDescent="0.3">
      <c r="B74" s="5">
        <v>44316</v>
      </c>
      <c r="C74" s="9"/>
      <c r="D74" s="9">
        <v>2750.29</v>
      </c>
      <c r="E74" s="9">
        <v>0.08</v>
      </c>
      <c r="F74" s="6">
        <f t="shared" si="3"/>
        <v>2750.21</v>
      </c>
      <c r="G74" s="9">
        <v>0</v>
      </c>
      <c r="H74" s="9"/>
      <c r="I74" s="8"/>
      <c r="J74" s="8"/>
      <c r="K74" s="8">
        <f t="shared" si="4"/>
        <v>0</v>
      </c>
      <c r="M74" s="43"/>
    </row>
    <row r="75" spans="2:13" ht="14.45" x14ac:dyDescent="0.3">
      <c r="B75" s="5"/>
      <c r="C75" s="9"/>
      <c r="D75" s="9"/>
      <c r="E75" s="9"/>
      <c r="F75" s="6"/>
      <c r="G75" s="9"/>
      <c r="H75" s="9"/>
      <c r="I75" s="8"/>
      <c r="J75" s="8"/>
      <c r="K75" s="8"/>
      <c r="M75" s="43"/>
    </row>
    <row r="76" spans="2:13" ht="14.45" x14ac:dyDescent="0.3">
      <c r="B76" s="13" t="s">
        <v>35</v>
      </c>
      <c r="C76" s="14">
        <f t="shared" ref="C76:K76" si="5">SUM(C14:C75)</f>
        <v>11804991.703815326</v>
      </c>
      <c r="D76" s="14">
        <f t="shared" si="5"/>
        <v>363993.85999999993</v>
      </c>
      <c r="E76" s="14">
        <f t="shared" si="5"/>
        <v>62575.950000000012</v>
      </c>
      <c r="F76" s="14">
        <f>SUM(F14:F75)</f>
        <v>12106409.613815326</v>
      </c>
      <c r="G76" s="14">
        <f t="shared" si="5"/>
        <v>7262507.0099999988</v>
      </c>
      <c r="H76" s="14">
        <f t="shared" si="5"/>
        <v>285676.96999999997</v>
      </c>
      <c r="I76" s="14">
        <f t="shared" si="5"/>
        <v>0</v>
      </c>
      <c r="J76" s="14">
        <f t="shared" si="5"/>
        <v>2511.5</v>
      </c>
      <c r="K76" s="14">
        <f t="shared" si="5"/>
        <v>7550695.4800000004</v>
      </c>
    </row>
    <row r="77" spans="2:13" ht="10.15" x14ac:dyDescent="0.2">
      <c r="C77" s="38"/>
      <c r="G77" s="43"/>
    </row>
    <row r="78" spans="2:13" ht="10.15" x14ac:dyDescent="0.2">
      <c r="B78" s="25" t="s">
        <v>23</v>
      </c>
      <c r="C78" s="38"/>
      <c r="F78" s="38"/>
      <c r="G78" s="43"/>
      <c r="I78" s="38"/>
      <c r="K78" s="38">
        <f>F76-K76</f>
        <v>4555714.1338153258</v>
      </c>
    </row>
    <row r="79" spans="2:13" x14ac:dyDescent="0.2">
      <c r="B79" s="26" t="s">
        <v>58</v>
      </c>
    </row>
    <row r="80" spans="2:13" x14ac:dyDescent="0.2">
      <c r="B80" s="26" t="s">
        <v>57</v>
      </c>
    </row>
    <row r="81" spans="2:8" x14ac:dyDescent="0.2">
      <c r="B81" s="26" t="s">
        <v>59</v>
      </c>
    </row>
    <row r="82" spans="2:8" ht="10.15" x14ac:dyDescent="0.2">
      <c r="G82" s="43">
        <f>G62-C64</f>
        <v>187591.05230000004</v>
      </c>
    </row>
    <row r="85" spans="2:8" ht="10.15" x14ac:dyDescent="0.2">
      <c r="H85" s="43"/>
    </row>
  </sheetData>
  <mergeCells count="5">
    <mergeCell ref="B2:K3"/>
    <mergeCell ref="B12:B13"/>
    <mergeCell ref="G12:K12"/>
    <mergeCell ref="C12:F12"/>
    <mergeCell ref="B11:K11"/>
  </mergeCell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84"/>
  <sheetViews>
    <sheetView showGridLines="0" topLeftCell="A52" zoomScaleNormal="100" workbookViewId="0">
      <selection activeCell="C62" sqref="C62"/>
    </sheetView>
  </sheetViews>
  <sheetFormatPr defaultColWidth="8.6640625" defaultRowHeight="11.25" x14ac:dyDescent="0.2"/>
  <cols>
    <col min="1" max="1" width="2.6640625" customWidth="1"/>
    <col min="2" max="6" width="15.6640625" customWidth="1"/>
    <col min="7" max="11" width="25.6640625" customWidth="1"/>
    <col min="12" max="12" width="5" customWidth="1"/>
    <col min="13" max="13" width="62.6640625" customWidth="1"/>
    <col min="14" max="15" width="10.5" bestFit="1" customWidth="1"/>
  </cols>
  <sheetData>
    <row r="1" spans="2:17" ht="11.25" customHeight="1" x14ac:dyDescent="0.2">
      <c r="L1" s="1"/>
    </row>
    <row r="2" spans="2:17" ht="15" customHeight="1" x14ac:dyDescent="0.2">
      <c r="B2" s="71" t="s">
        <v>30</v>
      </c>
      <c r="C2" s="71"/>
      <c r="D2" s="71"/>
      <c r="E2" s="71"/>
      <c r="F2" s="71"/>
      <c r="G2" s="71"/>
      <c r="H2" s="71"/>
      <c r="I2" s="71"/>
      <c r="J2" s="71"/>
      <c r="K2" s="71"/>
    </row>
    <row r="3" spans="2:17" ht="15" customHeight="1" x14ac:dyDescent="0.2"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2:17" ht="11.25" customHeight="1" x14ac:dyDescent="0.2"/>
    <row r="5" spans="2:17" s="15" customFormat="1" ht="19.899999999999999" customHeight="1" x14ac:dyDescent="0.25">
      <c r="B5" s="21" t="s">
        <v>39</v>
      </c>
      <c r="C5" s="21"/>
      <c r="D5" s="21"/>
      <c r="E5" s="21"/>
      <c r="F5" s="22" t="s">
        <v>1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2:17" s="15" customFormat="1" ht="6" customHeight="1" x14ac:dyDescent="0.25">
      <c r="B6" s="16"/>
      <c r="C6" s="16"/>
      <c r="D6" s="16"/>
      <c r="E6" s="16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2:17" s="15" customFormat="1" ht="19.899999999999999" customHeight="1" x14ac:dyDescent="0.25">
      <c r="B7" s="21" t="s">
        <v>40</v>
      </c>
      <c r="C7" s="21"/>
      <c r="D7" s="21"/>
      <c r="E7" s="21"/>
      <c r="F7" s="22" t="s">
        <v>43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2:17" ht="6" customHeight="1" x14ac:dyDescent="0.2">
      <c r="B8" s="23"/>
      <c r="C8" s="23"/>
      <c r="D8" s="23"/>
      <c r="E8" s="23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</row>
    <row r="9" spans="2:17" ht="15.75" x14ac:dyDescent="0.25">
      <c r="B9" s="24" t="s">
        <v>51</v>
      </c>
      <c r="C9" s="24"/>
      <c r="D9" s="24"/>
      <c r="E9" s="24"/>
      <c r="F9" s="24"/>
      <c r="G9" s="24"/>
      <c r="H9" s="24"/>
      <c r="I9" s="24"/>
      <c r="J9" s="24"/>
    </row>
    <row r="10" spans="2:17" ht="10.15" customHeight="1" x14ac:dyDescent="0.25">
      <c r="B10" s="19"/>
      <c r="C10" s="19"/>
      <c r="D10" s="19"/>
      <c r="E10" s="19"/>
      <c r="F10" s="19"/>
      <c r="G10" s="19"/>
      <c r="H10" s="19"/>
      <c r="I10" s="19"/>
      <c r="J10" s="19"/>
    </row>
    <row r="11" spans="2:17" ht="75" customHeight="1" x14ac:dyDescent="0.25"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30"/>
      <c r="M11" s="30"/>
      <c r="N11" s="30"/>
      <c r="O11" s="30"/>
      <c r="P11" s="20"/>
      <c r="Q11" s="20"/>
    </row>
    <row r="12" spans="2:17" ht="15" customHeight="1" x14ac:dyDescent="0.2">
      <c r="B12" s="80" t="s">
        <v>1</v>
      </c>
      <c r="C12" s="73" t="s">
        <v>6</v>
      </c>
      <c r="D12" s="73"/>
      <c r="E12" s="73"/>
      <c r="F12" s="73"/>
      <c r="G12" s="82" t="s">
        <v>15</v>
      </c>
      <c r="H12" s="83"/>
      <c r="I12" s="83"/>
      <c r="J12" s="83"/>
      <c r="K12" s="84"/>
    </row>
    <row r="13" spans="2:17" ht="30" x14ac:dyDescent="0.2">
      <c r="B13" s="81"/>
      <c r="C13" s="4" t="s">
        <v>33</v>
      </c>
      <c r="D13" s="4" t="s">
        <v>34</v>
      </c>
      <c r="E13" s="28" t="s">
        <v>48</v>
      </c>
      <c r="F13" s="4" t="s">
        <v>35</v>
      </c>
      <c r="G13" s="12" t="s">
        <v>16</v>
      </c>
      <c r="H13" s="12" t="s">
        <v>17</v>
      </c>
      <c r="I13" s="12" t="s">
        <v>33</v>
      </c>
      <c r="J13" s="12" t="s">
        <v>92</v>
      </c>
      <c r="K13" s="12" t="s">
        <v>35</v>
      </c>
    </row>
    <row r="14" spans="2:17" ht="15" x14ac:dyDescent="0.25">
      <c r="B14" s="5">
        <v>42490</v>
      </c>
      <c r="C14" s="6">
        <v>10048.24</v>
      </c>
      <c r="D14" s="6">
        <v>0</v>
      </c>
      <c r="E14" s="6">
        <v>0</v>
      </c>
      <c r="F14" s="6">
        <f>C14+D14-E14</f>
        <v>10048.24</v>
      </c>
      <c r="G14" s="8">
        <v>0</v>
      </c>
      <c r="H14" s="8">
        <v>0</v>
      </c>
      <c r="I14" s="8">
        <v>0</v>
      </c>
      <c r="J14" s="8">
        <v>0</v>
      </c>
      <c r="K14" s="8">
        <f>G14+H14+I14+J14</f>
        <v>0</v>
      </c>
    </row>
    <row r="15" spans="2:17" ht="15" x14ac:dyDescent="0.25">
      <c r="B15" s="5">
        <v>42521</v>
      </c>
      <c r="C15" s="8">
        <v>10082.77</v>
      </c>
      <c r="D15" s="8">
        <v>0</v>
      </c>
      <c r="E15" s="8">
        <v>0</v>
      </c>
      <c r="F15" s="6">
        <f t="shared" ref="F15:F53" si="0">C15+D15-E15</f>
        <v>10082.77</v>
      </c>
      <c r="G15" s="8">
        <v>0</v>
      </c>
      <c r="H15" s="8">
        <v>0</v>
      </c>
      <c r="I15" s="8">
        <v>0</v>
      </c>
      <c r="J15" s="8">
        <v>0</v>
      </c>
      <c r="K15" s="8">
        <f t="shared" ref="K15:K74" si="1">G15+H15+I15+J15</f>
        <v>0</v>
      </c>
    </row>
    <row r="16" spans="2:17" ht="15" x14ac:dyDescent="0.25">
      <c r="B16" s="5">
        <v>42551</v>
      </c>
      <c r="C16" s="8">
        <v>9447.5499999999993</v>
      </c>
      <c r="D16" s="8">
        <f>99.82</f>
        <v>99.82</v>
      </c>
      <c r="E16" s="8">
        <v>1.99</v>
      </c>
      <c r="F16" s="6">
        <f t="shared" si="0"/>
        <v>9545.3799999999992</v>
      </c>
      <c r="G16" s="8">
        <v>0</v>
      </c>
      <c r="H16" s="8">
        <v>1470</v>
      </c>
      <c r="I16" s="8">
        <v>0</v>
      </c>
      <c r="J16" s="8">
        <v>0</v>
      </c>
      <c r="K16" s="8">
        <f t="shared" si="1"/>
        <v>1470</v>
      </c>
    </row>
    <row r="17" spans="2:11" ht="15" x14ac:dyDescent="0.25">
      <c r="B17" s="5">
        <v>42582</v>
      </c>
      <c r="C17" s="8">
        <v>9282.14</v>
      </c>
      <c r="D17" s="8">
        <f>183.36</f>
        <v>183.36</v>
      </c>
      <c r="E17" s="8">
        <v>14.06</v>
      </c>
      <c r="F17" s="6">
        <f t="shared" si="0"/>
        <v>9451.44</v>
      </c>
      <c r="G17" s="8">
        <v>0</v>
      </c>
      <c r="H17" s="8">
        <v>3150</v>
      </c>
      <c r="I17" s="8">
        <v>0</v>
      </c>
      <c r="J17" s="8">
        <v>0</v>
      </c>
      <c r="K17" s="8">
        <f t="shared" si="1"/>
        <v>3150</v>
      </c>
    </row>
    <row r="18" spans="2:11" ht="15" x14ac:dyDescent="0.25">
      <c r="B18" s="5">
        <v>42613</v>
      </c>
      <c r="C18" s="8">
        <v>9411.2999999999993</v>
      </c>
      <c r="D18" s="8">
        <f>269.43</f>
        <v>269.43</v>
      </c>
      <c r="E18" s="8">
        <v>0</v>
      </c>
      <c r="F18" s="6">
        <f t="shared" si="0"/>
        <v>9680.73</v>
      </c>
      <c r="G18" s="8">
        <v>0</v>
      </c>
      <c r="H18" s="8">
        <v>0</v>
      </c>
      <c r="I18" s="8">
        <v>0</v>
      </c>
      <c r="J18" s="8">
        <v>0</v>
      </c>
      <c r="K18" s="8">
        <f t="shared" si="1"/>
        <v>0</v>
      </c>
    </row>
    <row r="19" spans="2:11" ht="15" x14ac:dyDescent="0.25">
      <c r="B19" s="5">
        <v>42643</v>
      </c>
      <c r="C19" s="9">
        <v>9756.24</v>
      </c>
      <c r="D19" s="9">
        <f>326.47</f>
        <v>326.47000000000003</v>
      </c>
      <c r="E19" s="9">
        <v>41.35</v>
      </c>
      <c r="F19" s="6">
        <f t="shared" si="0"/>
        <v>10041.359999999999</v>
      </c>
      <c r="G19" s="9">
        <v>0</v>
      </c>
      <c r="H19" s="9">
        <v>11369.9</v>
      </c>
      <c r="I19" s="8">
        <v>0</v>
      </c>
      <c r="J19" s="8">
        <v>0</v>
      </c>
      <c r="K19" s="8">
        <f t="shared" si="1"/>
        <v>11369.9</v>
      </c>
    </row>
    <row r="20" spans="2:11" s="3" customFormat="1" ht="15" x14ac:dyDescent="0.25">
      <c r="B20" s="5">
        <v>42674</v>
      </c>
      <c r="C20" s="9">
        <v>9513</v>
      </c>
      <c r="D20" s="9">
        <f>313.49</f>
        <v>313.49</v>
      </c>
      <c r="E20" s="9">
        <v>53.66</v>
      </c>
      <c r="F20" s="6">
        <f t="shared" si="0"/>
        <v>9772.83</v>
      </c>
      <c r="G20" s="9">
        <v>0</v>
      </c>
      <c r="H20" s="9">
        <v>3265</v>
      </c>
      <c r="I20" s="8">
        <v>0</v>
      </c>
      <c r="J20" s="8">
        <v>0</v>
      </c>
      <c r="K20" s="8">
        <f t="shared" si="1"/>
        <v>3265</v>
      </c>
    </row>
    <row r="21" spans="2:11" ht="15" x14ac:dyDescent="0.25">
      <c r="B21" s="5">
        <v>42704</v>
      </c>
      <c r="C21" s="9">
        <v>9546.26</v>
      </c>
      <c r="D21" s="9">
        <f>247.28</f>
        <v>247.28</v>
      </c>
      <c r="E21" s="9">
        <v>193.68</v>
      </c>
      <c r="F21" s="6">
        <f t="shared" si="0"/>
        <v>9599.86</v>
      </c>
      <c r="G21" s="9">
        <f>4050+2700</f>
        <v>6750</v>
      </c>
      <c r="H21" s="9">
        <v>25000</v>
      </c>
      <c r="I21" s="8">
        <v>0</v>
      </c>
      <c r="J21" s="8">
        <v>0</v>
      </c>
      <c r="K21" s="8">
        <f t="shared" si="1"/>
        <v>31750</v>
      </c>
    </row>
    <row r="22" spans="2:11" ht="15" x14ac:dyDescent="0.25">
      <c r="B22" s="5">
        <v>42735</v>
      </c>
      <c r="C22" s="9">
        <v>9735.51</v>
      </c>
      <c r="D22" s="9">
        <v>182.82</v>
      </c>
      <c r="E22" s="9">
        <v>34.6</v>
      </c>
      <c r="F22" s="6">
        <f t="shared" si="0"/>
        <v>9883.73</v>
      </c>
      <c r="G22" s="9">
        <v>0</v>
      </c>
      <c r="H22" s="9">
        <v>7899</v>
      </c>
      <c r="I22" s="8">
        <v>0</v>
      </c>
      <c r="J22" s="8">
        <v>0</v>
      </c>
      <c r="K22" s="8">
        <f t="shared" si="1"/>
        <v>7899</v>
      </c>
    </row>
    <row r="23" spans="2:11" ht="15" x14ac:dyDescent="0.25">
      <c r="B23" s="5">
        <v>42766</v>
      </c>
      <c r="C23" s="9">
        <v>10623.92</v>
      </c>
      <c r="D23" s="9">
        <v>188.95</v>
      </c>
      <c r="E23" s="9">
        <v>0</v>
      </c>
      <c r="F23" s="6">
        <f t="shared" si="0"/>
        <v>10812.87</v>
      </c>
      <c r="G23" s="9">
        <v>0</v>
      </c>
      <c r="H23" s="9">
        <v>0</v>
      </c>
      <c r="I23" s="8">
        <v>0</v>
      </c>
      <c r="J23" s="8">
        <v>0</v>
      </c>
      <c r="K23" s="8">
        <f t="shared" si="1"/>
        <v>0</v>
      </c>
    </row>
    <row r="24" spans="2:11" ht="15" x14ac:dyDescent="0.25">
      <c r="B24" s="5">
        <v>42794</v>
      </c>
      <c r="C24" s="9">
        <v>9963.82</v>
      </c>
      <c r="D24" s="9">
        <v>229.76</v>
      </c>
      <c r="E24" s="9">
        <v>0</v>
      </c>
      <c r="F24" s="6">
        <f t="shared" si="0"/>
        <v>10193.58</v>
      </c>
      <c r="G24" s="9">
        <v>0</v>
      </c>
      <c r="H24" s="9">
        <v>0</v>
      </c>
      <c r="I24" s="8">
        <v>0</v>
      </c>
      <c r="J24" s="8">
        <v>0</v>
      </c>
      <c r="K24" s="8">
        <f t="shared" si="1"/>
        <v>0</v>
      </c>
    </row>
    <row r="25" spans="2:11" ht="15" x14ac:dyDescent="0.25">
      <c r="B25" s="5">
        <v>42825</v>
      </c>
      <c r="C25" s="9">
        <v>10180.68</v>
      </c>
      <c r="D25" s="9">
        <v>375.06</v>
      </c>
      <c r="E25" s="9">
        <v>0</v>
      </c>
      <c r="F25" s="6">
        <f t="shared" si="0"/>
        <v>10555.74</v>
      </c>
      <c r="G25" s="9">
        <v>0</v>
      </c>
      <c r="H25" s="9">
        <v>0</v>
      </c>
      <c r="I25" s="8">
        <v>0</v>
      </c>
      <c r="J25" s="8">
        <v>0</v>
      </c>
      <c r="K25" s="8">
        <f t="shared" si="1"/>
        <v>0</v>
      </c>
    </row>
    <row r="26" spans="2:11" ht="15" x14ac:dyDescent="0.25">
      <c r="B26" s="5">
        <v>42855</v>
      </c>
      <c r="C26" s="9">
        <v>10741.12</v>
      </c>
      <c r="D26" s="9">
        <v>350.09</v>
      </c>
      <c r="E26" s="9">
        <v>3.31</v>
      </c>
      <c r="F26" s="6">
        <f t="shared" si="0"/>
        <v>11087.900000000001</v>
      </c>
      <c r="G26" s="9">
        <v>0</v>
      </c>
      <c r="H26" s="9">
        <v>5689.46</v>
      </c>
      <c r="I26" s="8">
        <v>0</v>
      </c>
      <c r="J26" s="8">
        <v>0</v>
      </c>
      <c r="K26" s="8">
        <f t="shared" si="1"/>
        <v>5689.46</v>
      </c>
    </row>
    <row r="27" spans="2:11" ht="15" x14ac:dyDescent="0.25">
      <c r="B27" s="5">
        <v>42886</v>
      </c>
      <c r="C27" s="9">
        <v>10067.94</v>
      </c>
      <c r="D27" s="9">
        <v>456.01</v>
      </c>
      <c r="E27" s="9">
        <v>273.60000000000002</v>
      </c>
      <c r="F27" s="6">
        <f t="shared" si="0"/>
        <v>10250.35</v>
      </c>
      <c r="G27" s="9">
        <v>0</v>
      </c>
      <c r="H27" s="9">
        <v>1848</v>
      </c>
      <c r="I27" s="8">
        <v>0</v>
      </c>
      <c r="J27" s="8">
        <v>0</v>
      </c>
      <c r="K27" s="8">
        <f t="shared" si="1"/>
        <v>1848</v>
      </c>
    </row>
    <row r="28" spans="2:11" ht="15" x14ac:dyDescent="0.25">
      <c r="B28" s="5">
        <v>42916</v>
      </c>
      <c r="C28" s="9">
        <v>10395.06</v>
      </c>
      <c r="D28" s="9">
        <v>451.33</v>
      </c>
      <c r="E28" s="9">
        <v>17.670000000000002</v>
      </c>
      <c r="F28" s="6">
        <f t="shared" si="0"/>
        <v>10828.72</v>
      </c>
      <c r="G28" s="9">
        <v>1450</v>
      </c>
      <c r="H28" s="9">
        <v>13330.01</v>
      </c>
      <c r="I28" s="8">
        <v>0</v>
      </c>
      <c r="J28" s="8">
        <v>0</v>
      </c>
      <c r="K28" s="8">
        <f t="shared" si="1"/>
        <v>14780.01</v>
      </c>
    </row>
    <row r="29" spans="2:11" ht="15" x14ac:dyDescent="0.25">
      <c r="B29" s="5">
        <v>42947</v>
      </c>
      <c r="C29" s="9">
        <v>10477.61</v>
      </c>
      <c r="D29" s="9">
        <v>412.35</v>
      </c>
      <c r="E29" s="9">
        <v>55.68</v>
      </c>
      <c r="F29" s="6">
        <f t="shared" si="0"/>
        <v>10834.28</v>
      </c>
      <c r="G29" s="9">
        <v>0</v>
      </c>
      <c r="H29" s="9">
        <v>3900</v>
      </c>
      <c r="I29" s="8">
        <v>0</v>
      </c>
      <c r="J29" s="8">
        <v>0</v>
      </c>
      <c r="K29" s="8">
        <f t="shared" si="1"/>
        <v>3900</v>
      </c>
    </row>
    <row r="30" spans="2:11" ht="15" x14ac:dyDescent="0.25">
      <c r="B30" s="5">
        <v>42978</v>
      </c>
      <c r="C30" s="9">
        <v>10706.81</v>
      </c>
      <c r="D30" s="9">
        <v>422.55</v>
      </c>
      <c r="E30" s="9">
        <v>69.739999999999995</v>
      </c>
      <c r="F30" s="6">
        <f t="shared" si="0"/>
        <v>11059.619999999999</v>
      </c>
      <c r="G30" s="9">
        <v>0</v>
      </c>
      <c r="H30" s="9">
        <v>18824.84</v>
      </c>
      <c r="I30" s="8">
        <v>0</v>
      </c>
      <c r="J30" s="8">
        <v>0</v>
      </c>
      <c r="K30" s="8">
        <f t="shared" si="1"/>
        <v>18824.84</v>
      </c>
    </row>
    <row r="31" spans="2:11" ht="15" x14ac:dyDescent="0.25">
      <c r="B31" s="5">
        <v>43008</v>
      </c>
      <c r="C31" s="9">
        <v>11104.52</v>
      </c>
      <c r="D31" s="9">
        <v>319.69</v>
      </c>
      <c r="E31" s="9">
        <v>114.21</v>
      </c>
      <c r="F31" s="6">
        <f t="shared" si="0"/>
        <v>11310.000000000002</v>
      </c>
      <c r="G31" s="9">
        <v>0</v>
      </c>
      <c r="H31" s="9">
        <v>15897</v>
      </c>
      <c r="I31" s="8">
        <v>0</v>
      </c>
      <c r="J31" s="8">
        <v>0</v>
      </c>
      <c r="K31" s="8">
        <f t="shared" si="1"/>
        <v>15897</v>
      </c>
    </row>
    <row r="32" spans="2:11" ht="15" x14ac:dyDescent="0.25">
      <c r="B32" s="5">
        <v>43039</v>
      </c>
      <c r="C32" s="9">
        <v>11520.64</v>
      </c>
      <c r="D32" s="9">
        <v>284.3</v>
      </c>
      <c r="E32" s="9">
        <v>96.67</v>
      </c>
      <c r="F32" s="6">
        <f t="shared" si="0"/>
        <v>11708.269999999999</v>
      </c>
      <c r="G32" s="9">
        <v>0</v>
      </c>
      <c r="H32" s="9">
        <v>6700</v>
      </c>
      <c r="I32" s="8">
        <v>0</v>
      </c>
      <c r="J32" s="8">
        <v>0</v>
      </c>
      <c r="K32" s="8">
        <f t="shared" si="1"/>
        <v>6700</v>
      </c>
    </row>
    <row r="33" spans="2:16" ht="15" x14ac:dyDescent="0.25">
      <c r="B33" s="5">
        <v>43069</v>
      </c>
      <c r="C33" s="9">
        <v>11246.6</v>
      </c>
      <c r="D33" s="9">
        <v>193</v>
      </c>
      <c r="E33" s="9">
        <v>121.51</v>
      </c>
      <c r="F33" s="6">
        <f t="shared" si="0"/>
        <v>11318.09</v>
      </c>
      <c r="G33" s="9">
        <v>0</v>
      </c>
      <c r="H33" s="9">
        <v>15240.65</v>
      </c>
      <c r="I33" s="8">
        <v>0</v>
      </c>
      <c r="J33" s="8">
        <v>0</v>
      </c>
      <c r="K33" s="8">
        <f t="shared" si="1"/>
        <v>15240.65</v>
      </c>
    </row>
    <row r="34" spans="2:16" ht="15" x14ac:dyDescent="0.25">
      <c r="B34" s="5">
        <v>43100</v>
      </c>
      <c r="C34" s="9">
        <v>10385.1</v>
      </c>
      <c r="D34" s="9">
        <v>274.69</v>
      </c>
      <c r="E34" s="9">
        <v>0</v>
      </c>
      <c r="F34" s="6">
        <f t="shared" si="0"/>
        <v>10659.79</v>
      </c>
      <c r="G34" s="9">
        <v>0</v>
      </c>
      <c r="H34" s="9">
        <v>739.35</v>
      </c>
      <c r="I34" s="8">
        <v>0</v>
      </c>
      <c r="J34" s="8">
        <v>0</v>
      </c>
      <c r="K34" s="8">
        <f t="shared" si="1"/>
        <v>739.35</v>
      </c>
    </row>
    <row r="35" spans="2:16" ht="15" x14ac:dyDescent="0.25">
      <c r="B35" s="5">
        <v>43131</v>
      </c>
      <c r="C35" s="9">
        <v>10609.99</v>
      </c>
      <c r="D35" s="9">
        <v>265.42</v>
      </c>
      <c r="E35" s="9">
        <v>41.35</v>
      </c>
      <c r="F35" s="6">
        <f t="shared" si="0"/>
        <v>10834.06</v>
      </c>
      <c r="G35" s="9">
        <v>0</v>
      </c>
      <c r="H35" s="9">
        <v>7580</v>
      </c>
      <c r="I35" s="8">
        <v>0</v>
      </c>
      <c r="J35" s="8">
        <v>0</v>
      </c>
      <c r="K35" s="8">
        <f t="shared" si="1"/>
        <v>7580</v>
      </c>
    </row>
    <row r="36" spans="2:16" ht="15" x14ac:dyDescent="0.25">
      <c r="B36" s="5">
        <v>43159</v>
      </c>
      <c r="C36" s="9">
        <v>11037.47</v>
      </c>
      <c r="D36" s="9">
        <v>269.58999999999997</v>
      </c>
      <c r="E36" s="9">
        <v>0</v>
      </c>
      <c r="F36" s="6">
        <f t="shared" si="0"/>
        <v>11307.06</v>
      </c>
      <c r="G36" s="9">
        <v>0</v>
      </c>
      <c r="H36" s="9">
        <v>0</v>
      </c>
      <c r="I36" s="8">
        <v>0</v>
      </c>
      <c r="J36" s="8">
        <v>0</v>
      </c>
      <c r="K36" s="8">
        <f t="shared" si="1"/>
        <v>0</v>
      </c>
    </row>
    <row r="37" spans="2:16" ht="15" x14ac:dyDescent="0.25">
      <c r="B37" s="5">
        <v>43190</v>
      </c>
      <c r="C37" s="9">
        <v>10615.39</v>
      </c>
      <c r="D37" s="9">
        <v>329.66</v>
      </c>
      <c r="E37" s="9">
        <v>26.45</v>
      </c>
      <c r="F37" s="6">
        <f t="shared" si="0"/>
        <v>10918.599999999999</v>
      </c>
      <c r="G37" s="9">
        <v>0</v>
      </c>
      <c r="H37" s="9">
        <v>0</v>
      </c>
      <c r="I37" s="8">
        <v>0</v>
      </c>
      <c r="J37" s="8">
        <v>0</v>
      </c>
      <c r="K37" s="8">
        <f t="shared" si="1"/>
        <v>0</v>
      </c>
    </row>
    <row r="38" spans="2:16" ht="15" x14ac:dyDescent="0.25">
      <c r="B38" s="5">
        <v>43220</v>
      </c>
      <c r="C38" s="9">
        <v>11250.93</v>
      </c>
      <c r="D38" s="9">
        <v>356.22</v>
      </c>
      <c r="E38" s="9">
        <v>297.73</v>
      </c>
      <c r="F38" s="6">
        <f t="shared" si="0"/>
        <v>11309.42</v>
      </c>
      <c r="G38" s="9">
        <v>0</v>
      </c>
      <c r="H38" s="9">
        <v>0</v>
      </c>
      <c r="I38" s="8">
        <v>0</v>
      </c>
      <c r="J38" s="8">
        <v>0</v>
      </c>
      <c r="K38" s="8">
        <f t="shared" si="1"/>
        <v>0</v>
      </c>
    </row>
    <row r="39" spans="2:16" ht="15" x14ac:dyDescent="0.25">
      <c r="B39" s="5">
        <v>43251</v>
      </c>
      <c r="C39" s="9">
        <v>10551.15</v>
      </c>
      <c r="D39" s="9">
        <v>384.78</v>
      </c>
      <c r="E39" s="9">
        <v>57.72</v>
      </c>
      <c r="F39" s="6">
        <f t="shared" si="0"/>
        <v>10878.210000000001</v>
      </c>
      <c r="G39" s="9">
        <v>0</v>
      </c>
      <c r="H39" s="9">
        <v>1536</v>
      </c>
      <c r="I39" s="8">
        <v>0</v>
      </c>
      <c r="J39" s="8">
        <v>0</v>
      </c>
      <c r="K39" s="8">
        <f t="shared" si="1"/>
        <v>1536</v>
      </c>
    </row>
    <row r="40" spans="2:16" ht="15" x14ac:dyDescent="0.25">
      <c r="B40" s="5">
        <v>43281</v>
      </c>
      <c r="C40" s="9">
        <v>10919.83</v>
      </c>
      <c r="D40" s="9">
        <v>446.08</v>
      </c>
      <c r="E40" s="9">
        <v>1.06</v>
      </c>
      <c r="F40" s="6">
        <f t="shared" si="0"/>
        <v>11364.85</v>
      </c>
      <c r="G40" s="9">
        <v>0</v>
      </c>
      <c r="H40" s="9">
        <v>0</v>
      </c>
      <c r="I40" s="8">
        <v>0</v>
      </c>
      <c r="J40" s="8">
        <v>0</v>
      </c>
      <c r="K40" s="8">
        <f t="shared" si="1"/>
        <v>0</v>
      </c>
    </row>
    <row r="41" spans="2:16" ht="15" x14ac:dyDescent="0.25">
      <c r="B41" s="5">
        <v>43312</v>
      </c>
      <c r="C41" s="9">
        <v>11607.94</v>
      </c>
      <c r="D41" s="9">
        <v>482.5</v>
      </c>
      <c r="E41" s="9">
        <v>11.31</v>
      </c>
      <c r="F41" s="6">
        <f t="shared" si="0"/>
        <v>12079.130000000001</v>
      </c>
      <c r="G41" s="9">
        <v>0</v>
      </c>
      <c r="H41" s="9">
        <v>7900</v>
      </c>
      <c r="I41" s="8">
        <v>0</v>
      </c>
      <c r="J41" s="8">
        <v>0</v>
      </c>
      <c r="K41" s="8">
        <f t="shared" si="1"/>
        <v>7900</v>
      </c>
    </row>
    <row r="42" spans="2:16" ht="15" x14ac:dyDescent="0.25">
      <c r="B42" s="5">
        <v>43343</v>
      </c>
      <c r="C42" s="9">
        <v>10381.82</v>
      </c>
      <c r="D42" s="9">
        <v>524.41</v>
      </c>
      <c r="E42" s="9">
        <v>17.690000000000001</v>
      </c>
      <c r="F42" s="6">
        <f t="shared" si="0"/>
        <v>10888.539999999999</v>
      </c>
      <c r="G42" s="9">
        <v>0</v>
      </c>
      <c r="H42" s="9">
        <v>7420</v>
      </c>
      <c r="I42" s="8">
        <v>0</v>
      </c>
      <c r="J42" s="8">
        <v>0</v>
      </c>
      <c r="K42" s="8">
        <f t="shared" si="1"/>
        <v>7420</v>
      </c>
    </row>
    <row r="43" spans="2:16" ht="15" x14ac:dyDescent="0.25">
      <c r="B43" s="5">
        <v>43373</v>
      </c>
      <c r="C43" s="9">
        <v>11074.5</v>
      </c>
      <c r="D43" s="9">
        <v>451.9</v>
      </c>
      <c r="E43" s="9">
        <v>29.94</v>
      </c>
      <c r="F43" s="6">
        <f t="shared" si="0"/>
        <v>11496.46</v>
      </c>
      <c r="G43" s="9">
        <v>0</v>
      </c>
      <c r="H43" s="9">
        <v>8780</v>
      </c>
      <c r="I43" s="8">
        <v>0</v>
      </c>
      <c r="J43" s="8">
        <v>0</v>
      </c>
      <c r="K43" s="8">
        <f t="shared" si="1"/>
        <v>8780</v>
      </c>
      <c r="N43" s="32"/>
      <c r="P43" s="48"/>
    </row>
    <row r="44" spans="2:16" ht="15" x14ac:dyDescent="0.25">
      <c r="B44" s="5">
        <v>43404</v>
      </c>
      <c r="C44" s="9">
        <v>11783.2</v>
      </c>
      <c r="D44" s="9">
        <v>510.11</v>
      </c>
      <c r="E44" s="9">
        <v>0</v>
      </c>
      <c r="F44" s="6">
        <f t="shared" si="0"/>
        <v>12293.310000000001</v>
      </c>
      <c r="G44" s="9">
        <v>0</v>
      </c>
      <c r="H44" s="9">
        <v>40165</v>
      </c>
      <c r="I44" s="8">
        <v>0</v>
      </c>
      <c r="J44" s="8">
        <v>0</v>
      </c>
      <c r="K44" s="8">
        <f t="shared" si="1"/>
        <v>40165</v>
      </c>
      <c r="N44" s="32"/>
      <c r="O44" s="43"/>
    </row>
    <row r="45" spans="2:16" ht="15" x14ac:dyDescent="0.25">
      <c r="B45" s="5">
        <v>43434</v>
      </c>
      <c r="C45" s="9">
        <v>11740.18</v>
      </c>
      <c r="D45" s="9">
        <v>451.67</v>
      </c>
      <c r="E45" s="9">
        <v>553.67999999999995</v>
      </c>
      <c r="F45" s="6">
        <f t="shared" si="0"/>
        <v>11638.17</v>
      </c>
      <c r="G45" s="9">
        <v>0</v>
      </c>
      <c r="H45" s="9">
        <v>9227.25</v>
      </c>
      <c r="I45" s="8">
        <v>0</v>
      </c>
      <c r="J45" s="8">
        <v>0</v>
      </c>
      <c r="K45" s="8">
        <f t="shared" si="1"/>
        <v>9227.25</v>
      </c>
      <c r="N45" s="32"/>
    </row>
    <row r="46" spans="2:16" ht="15" x14ac:dyDescent="0.25">
      <c r="B46" s="5">
        <v>43465</v>
      </c>
      <c r="C46" s="9">
        <v>11417.26</v>
      </c>
      <c r="D46" s="9">
        <v>454.43</v>
      </c>
      <c r="E46" s="9">
        <f>4.69</f>
        <v>4.6900000000000004</v>
      </c>
      <c r="F46" s="6">
        <f t="shared" si="0"/>
        <v>11867</v>
      </c>
      <c r="G46" s="9">
        <v>0</v>
      </c>
      <c r="H46" s="9">
        <v>0</v>
      </c>
      <c r="I46" s="8">
        <v>4.8</v>
      </c>
      <c r="J46" s="8">
        <v>0</v>
      </c>
      <c r="K46" s="8">
        <f t="shared" si="1"/>
        <v>4.8</v>
      </c>
    </row>
    <row r="47" spans="2:16" ht="15" x14ac:dyDescent="0.25">
      <c r="B47" s="5">
        <v>43496</v>
      </c>
      <c r="C47" s="9">
        <v>11771.21</v>
      </c>
      <c r="D47" s="9">
        <v>1034.08</v>
      </c>
      <c r="E47" s="9">
        <v>213.46</v>
      </c>
      <c r="F47" s="6">
        <f t="shared" si="0"/>
        <v>12591.83</v>
      </c>
      <c r="G47" s="9">
        <v>0</v>
      </c>
      <c r="H47" s="9">
        <v>0</v>
      </c>
      <c r="I47" s="8">
        <v>0</v>
      </c>
      <c r="J47" s="8">
        <v>0</v>
      </c>
      <c r="K47" s="8">
        <f t="shared" si="1"/>
        <v>0</v>
      </c>
    </row>
    <row r="48" spans="2:16" ht="15" x14ac:dyDescent="0.25">
      <c r="B48" s="5">
        <v>43524</v>
      </c>
      <c r="C48" s="9">
        <v>11477.94</v>
      </c>
      <c r="D48" s="9">
        <v>486.65</v>
      </c>
      <c r="E48" s="9">
        <v>3.9</v>
      </c>
      <c r="F48" s="6">
        <f t="shared" si="0"/>
        <v>11960.69</v>
      </c>
      <c r="G48" s="9">
        <v>0</v>
      </c>
      <c r="H48" s="6">
        <v>3000</v>
      </c>
      <c r="I48" s="8">
        <v>0</v>
      </c>
      <c r="J48" s="8">
        <v>0</v>
      </c>
      <c r="K48" s="8">
        <f t="shared" si="1"/>
        <v>3000</v>
      </c>
    </row>
    <row r="49" spans="2:12" ht="15" x14ac:dyDescent="0.25">
      <c r="B49" s="5">
        <v>43555</v>
      </c>
      <c r="C49" s="9">
        <v>11565.36</v>
      </c>
      <c r="D49" s="9">
        <v>463.2</v>
      </c>
      <c r="E49" s="9">
        <v>0</v>
      </c>
      <c r="F49" s="6">
        <f t="shared" si="0"/>
        <v>12028.560000000001</v>
      </c>
      <c r="G49" s="9">
        <v>0</v>
      </c>
      <c r="H49" s="6">
        <v>4722</v>
      </c>
      <c r="I49" s="8">
        <v>0</v>
      </c>
      <c r="J49" s="8">
        <v>0</v>
      </c>
      <c r="K49" s="8">
        <f t="shared" si="1"/>
        <v>4722</v>
      </c>
    </row>
    <row r="50" spans="2:12" ht="15" x14ac:dyDescent="0.25">
      <c r="B50" s="5">
        <v>43585</v>
      </c>
      <c r="C50" s="9">
        <v>11457.45</v>
      </c>
      <c r="D50" s="9">
        <v>555.98</v>
      </c>
      <c r="E50" s="9">
        <v>63.47</v>
      </c>
      <c r="F50" s="6">
        <f t="shared" si="0"/>
        <v>11949.960000000001</v>
      </c>
      <c r="G50" s="9">
        <v>0</v>
      </c>
      <c r="H50" s="6">
        <v>19992</v>
      </c>
      <c r="I50" s="8">
        <v>0</v>
      </c>
      <c r="J50" s="8">
        <v>0</v>
      </c>
      <c r="K50" s="8">
        <f t="shared" si="1"/>
        <v>19992</v>
      </c>
    </row>
    <row r="51" spans="2:12" ht="15" x14ac:dyDescent="0.25">
      <c r="B51" s="5">
        <v>43616</v>
      </c>
      <c r="C51" s="9">
        <v>11793.42</v>
      </c>
      <c r="D51" s="9">
        <v>543.59</v>
      </c>
      <c r="E51" s="9">
        <v>509.38</v>
      </c>
      <c r="F51" s="6">
        <f t="shared" si="0"/>
        <v>11827.630000000001</v>
      </c>
      <c r="G51" s="9">
        <v>0</v>
      </c>
      <c r="H51" s="6">
        <v>8660</v>
      </c>
      <c r="I51" s="8">
        <v>0</v>
      </c>
      <c r="J51" s="8">
        <v>0</v>
      </c>
      <c r="K51" s="8">
        <f t="shared" si="1"/>
        <v>8660</v>
      </c>
    </row>
    <row r="52" spans="2:12" ht="15" x14ac:dyDescent="0.25">
      <c r="B52" s="5">
        <v>43646</v>
      </c>
      <c r="C52" s="9">
        <v>11641.38</v>
      </c>
      <c r="D52" s="9">
        <v>507.52</v>
      </c>
      <c r="E52" s="9">
        <f>1.27</f>
        <v>1.27</v>
      </c>
      <c r="F52" s="6">
        <f t="shared" si="0"/>
        <v>12147.63</v>
      </c>
      <c r="G52" s="9">
        <v>0</v>
      </c>
      <c r="H52" s="6">
        <v>23550</v>
      </c>
      <c r="I52" s="8">
        <v>4.4000000000000004</v>
      </c>
      <c r="J52" s="8">
        <v>0</v>
      </c>
      <c r="K52" s="8">
        <f t="shared" si="1"/>
        <v>23554.400000000001</v>
      </c>
    </row>
    <row r="53" spans="2:12" ht="15" x14ac:dyDescent="0.25">
      <c r="B53" s="5">
        <v>43677</v>
      </c>
      <c r="C53" s="9">
        <v>11784.09</v>
      </c>
      <c r="D53" s="9">
        <v>578.78</v>
      </c>
      <c r="E53" s="9">
        <v>8.15</v>
      </c>
      <c r="F53" s="6">
        <f t="shared" si="0"/>
        <v>12354.720000000001</v>
      </c>
      <c r="G53" s="9">
        <v>0</v>
      </c>
      <c r="H53" s="6">
        <v>15000</v>
      </c>
      <c r="I53" s="8">
        <v>0</v>
      </c>
      <c r="J53" s="8">
        <v>0</v>
      </c>
      <c r="K53" s="8">
        <f t="shared" si="1"/>
        <v>15000</v>
      </c>
    </row>
    <row r="54" spans="2:12" ht="15" x14ac:dyDescent="0.25">
      <c r="B54" s="5">
        <v>43708</v>
      </c>
      <c r="C54" s="9">
        <v>11946.98</v>
      </c>
      <c r="D54" s="9">
        <v>489.11</v>
      </c>
      <c r="E54" s="9">
        <v>76.11</v>
      </c>
      <c r="F54" s="6">
        <f t="shared" ref="F54:F66" si="2">C54+D54-E54</f>
        <v>12359.98</v>
      </c>
      <c r="G54" s="9">
        <v>0</v>
      </c>
      <c r="H54" s="6">
        <v>41102</v>
      </c>
      <c r="I54" s="8">
        <v>0</v>
      </c>
      <c r="J54" s="8">
        <v>0</v>
      </c>
      <c r="K54" s="8">
        <f t="shared" si="1"/>
        <v>41102</v>
      </c>
    </row>
    <row r="55" spans="2:12" ht="15" x14ac:dyDescent="0.25">
      <c r="B55" s="5">
        <v>43738</v>
      </c>
      <c r="C55" s="9">
        <v>12385.8</v>
      </c>
      <c r="D55" s="9">
        <v>355.43</v>
      </c>
      <c r="E55" s="9">
        <v>39.630000000000003</v>
      </c>
      <c r="F55" s="6">
        <f t="shared" si="2"/>
        <v>12701.6</v>
      </c>
      <c r="G55" s="9">
        <v>0</v>
      </c>
      <c r="H55" s="6">
        <v>2280</v>
      </c>
      <c r="I55" s="8">
        <v>0</v>
      </c>
      <c r="J55" s="8">
        <v>0</v>
      </c>
      <c r="K55" s="8">
        <f t="shared" si="1"/>
        <v>2280</v>
      </c>
    </row>
    <row r="56" spans="2:12" ht="15" x14ac:dyDescent="0.25">
      <c r="B56" s="5">
        <v>43769</v>
      </c>
      <c r="C56" s="9">
        <v>12246.68</v>
      </c>
      <c r="D56" s="9">
        <v>329.44</v>
      </c>
      <c r="E56" s="9">
        <v>0</v>
      </c>
      <c r="F56" s="6">
        <f t="shared" si="2"/>
        <v>12576.12</v>
      </c>
      <c r="G56" s="9">
        <v>0</v>
      </c>
      <c r="H56" s="6">
        <v>4615</v>
      </c>
      <c r="I56" s="8">
        <v>0</v>
      </c>
      <c r="J56" s="8">
        <v>0</v>
      </c>
      <c r="K56" s="8">
        <f t="shared" si="1"/>
        <v>4615</v>
      </c>
    </row>
    <row r="57" spans="2:12" ht="15" x14ac:dyDescent="0.25">
      <c r="B57" s="5">
        <v>43799</v>
      </c>
      <c r="C57" s="9">
        <v>13127.88</v>
      </c>
      <c r="D57" s="9">
        <v>300.36</v>
      </c>
      <c r="E57" s="9">
        <v>308.10000000000002</v>
      </c>
      <c r="F57" s="6">
        <f t="shared" si="2"/>
        <v>13120.14</v>
      </c>
      <c r="G57" s="9">
        <v>0</v>
      </c>
      <c r="H57" s="6">
        <v>15739.09</v>
      </c>
      <c r="I57" s="8">
        <v>0</v>
      </c>
      <c r="J57" s="8">
        <v>0</v>
      </c>
      <c r="K57" s="8">
        <f t="shared" si="1"/>
        <v>15739.09</v>
      </c>
    </row>
    <row r="58" spans="2:12" ht="15" x14ac:dyDescent="0.25">
      <c r="B58" s="5">
        <v>43830</v>
      </c>
      <c r="C58" s="9">
        <v>12112.44</v>
      </c>
      <c r="D58" s="9">
        <v>305.27999999999997</v>
      </c>
      <c r="E58" s="9">
        <v>4.29</v>
      </c>
      <c r="F58" s="6">
        <f t="shared" si="2"/>
        <v>12413.43</v>
      </c>
      <c r="G58" s="9">
        <v>0</v>
      </c>
      <c r="H58" s="6">
        <v>69700</v>
      </c>
      <c r="I58" s="8">
        <v>0</v>
      </c>
      <c r="J58" s="8">
        <v>0</v>
      </c>
      <c r="K58" s="8">
        <f t="shared" si="1"/>
        <v>69700</v>
      </c>
    </row>
    <row r="59" spans="2:12" ht="15" x14ac:dyDescent="0.25">
      <c r="B59" s="5">
        <v>43861</v>
      </c>
      <c r="C59" s="9">
        <v>12596.090982754864</v>
      </c>
      <c r="D59" s="9">
        <v>186.31</v>
      </c>
      <c r="E59" s="9">
        <v>194.27</v>
      </c>
      <c r="F59" s="6">
        <f t="shared" si="2"/>
        <v>12588.130982754863</v>
      </c>
      <c r="G59" s="9">
        <v>0</v>
      </c>
      <c r="H59" s="6">
        <v>555</v>
      </c>
      <c r="I59" s="8">
        <v>0</v>
      </c>
      <c r="J59" s="8">
        <v>0</v>
      </c>
      <c r="K59" s="8">
        <f t="shared" si="1"/>
        <v>555</v>
      </c>
      <c r="L59" t="s">
        <v>69</v>
      </c>
    </row>
    <row r="60" spans="2:12" ht="15" x14ac:dyDescent="0.25">
      <c r="B60" s="5">
        <v>43890</v>
      </c>
      <c r="C60" s="9">
        <v>11905.786259215438</v>
      </c>
      <c r="D60" s="9">
        <v>125.71</v>
      </c>
      <c r="E60" s="9">
        <v>0.34</v>
      </c>
      <c r="F60" s="6">
        <f t="shared" si="2"/>
        <v>12031.156259215437</v>
      </c>
      <c r="G60" s="9">
        <v>0</v>
      </c>
      <c r="H60" s="6">
        <v>0</v>
      </c>
      <c r="I60" s="6">
        <v>3.09</v>
      </c>
      <c r="J60" s="8">
        <v>0</v>
      </c>
      <c r="K60" s="8">
        <f t="shared" si="1"/>
        <v>3.09</v>
      </c>
    </row>
    <row r="61" spans="2:12" ht="15" x14ac:dyDescent="0.25">
      <c r="B61" s="5">
        <v>43921</v>
      </c>
      <c r="C61" s="9">
        <v>11985.96</v>
      </c>
      <c r="D61" s="9">
        <v>136.9</v>
      </c>
      <c r="E61" s="9">
        <v>0.02</v>
      </c>
      <c r="F61" s="6">
        <f t="shared" si="2"/>
        <v>12122.839999999998</v>
      </c>
      <c r="G61" s="9">
        <v>0</v>
      </c>
      <c r="H61" s="6">
        <v>0</v>
      </c>
      <c r="I61" s="6">
        <v>42</v>
      </c>
      <c r="J61" s="8">
        <v>0</v>
      </c>
      <c r="K61" s="8">
        <f t="shared" si="1"/>
        <v>42</v>
      </c>
    </row>
    <row r="62" spans="2:12" ht="15" x14ac:dyDescent="0.25">
      <c r="B62" s="5">
        <v>43951</v>
      </c>
      <c r="C62" s="9">
        <v>0</v>
      </c>
      <c r="D62" s="9">
        <v>70.08</v>
      </c>
      <c r="E62" s="9">
        <v>0</v>
      </c>
      <c r="F62" s="6">
        <f t="shared" si="2"/>
        <v>70.08</v>
      </c>
      <c r="G62" s="9">
        <v>0</v>
      </c>
      <c r="H62" s="6">
        <v>0</v>
      </c>
      <c r="I62" s="6">
        <v>42</v>
      </c>
      <c r="J62" s="8">
        <v>0</v>
      </c>
      <c r="K62" s="8">
        <f t="shared" si="1"/>
        <v>42</v>
      </c>
    </row>
    <row r="63" spans="2:12" ht="15" x14ac:dyDescent="0.25">
      <c r="B63" s="5">
        <v>43982</v>
      </c>
      <c r="C63" s="9">
        <v>0</v>
      </c>
      <c r="D63" s="9">
        <v>134.34</v>
      </c>
      <c r="E63" s="9">
        <f>69.95-0.28</f>
        <v>69.67</v>
      </c>
      <c r="F63" s="6">
        <f t="shared" si="2"/>
        <v>64.67</v>
      </c>
      <c r="G63" s="9">
        <v>0</v>
      </c>
      <c r="H63" s="6">
        <v>0</v>
      </c>
      <c r="I63" s="6">
        <v>42</v>
      </c>
      <c r="J63" s="8">
        <v>0</v>
      </c>
      <c r="K63" s="8">
        <f t="shared" si="1"/>
        <v>42</v>
      </c>
    </row>
    <row r="64" spans="2:12" ht="15" x14ac:dyDescent="0.25">
      <c r="B64" s="5">
        <v>44012</v>
      </c>
      <c r="C64" s="9">
        <v>0</v>
      </c>
      <c r="D64" s="9">
        <v>87.13</v>
      </c>
      <c r="E64" s="9"/>
      <c r="F64" s="6">
        <f t="shared" si="2"/>
        <v>87.13</v>
      </c>
      <c r="G64" s="9">
        <v>0</v>
      </c>
      <c r="H64" s="6">
        <v>0</v>
      </c>
      <c r="I64" s="6">
        <v>85.5</v>
      </c>
      <c r="J64" s="8">
        <v>0</v>
      </c>
      <c r="K64" s="8">
        <f t="shared" si="1"/>
        <v>85.5</v>
      </c>
    </row>
    <row r="65" spans="2:13" ht="15" x14ac:dyDescent="0.25">
      <c r="B65" s="5">
        <v>44043</v>
      </c>
      <c r="C65" s="9">
        <v>0</v>
      </c>
      <c r="D65" s="9">
        <v>61.68</v>
      </c>
      <c r="E65" s="9">
        <v>0</v>
      </c>
      <c r="F65" s="6">
        <f t="shared" si="2"/>
        <v>61.68</v>
      </c>
      <c r="G65" s="9">
        <v>0</v>
      </c>
      <c r="H65" s="6">
        <v>0</v>
      </c>
      <c r="I65" s="6">
        <v>0</v>
      </c>
      <c r="J65" s="8">
        <v>0</v>
      </c>
      <c r="K65" s="8">
        <f t="shared" si="1"/>
        <v>0</v>
      </c>
    </row>
    <row r="66" spans="2:13" ht="15" x14ac:dyDescent="0.25">
      <c r="B66" s="5">
        <v>44074</v>
      </c>
      <c r="C66" s="9">
        <v>0</v>
      </c>
      <c r="D66" s="9">
        <v>25.94</v>
      </c>
      <c r="E66" s="9">
        <v>0</v>
      </c>
      <c r="F66" s="6">
        <f t="shared" si="2"/>
        <v>25.94</v>
      </c>
      <c r="G66" s="9">
        <v>0</v>
      </c>
      <c r="H66" s="6">
        <v>0</v>
      </c>
      <c r="I66" s="6">
        <v>0</v>
      </c>
      <c r="J66" s="8">
        <v>0</v>
      </c>
      <c r="K66" s="8">
        <f t="shared" si="1"/>
        <v>0</v>
      </c>
    </row>
    <row r="67" spans="2:13" ht="15" x14ac:dyDescent="0.25">
      <c r="B67" s="5">
        <v>44104</v>
      </c>
      <c r="C67" s="9">
        <v>0</v>
      </c>
      <c r="D67" s="9">
        <v>-262.79000000000002</v>
      </c>
      <c r="E67" s="9">
        <v>0</v>
      </c>
      <c r="F67" s="6">
        <f t="shared" ref="F67:F72" si="3">C67+D67-E67</f>
        <v>-262.79000000000002</v>
      </c>
      <c r="G67" s="9">
        <v>0</v>
      </c>
      <c r="H67" s="6">
        <v>0</v>
      </c>
      <c r="I67" s="6">
        <v>0</v>
      </c>
      <c r="J67" s="8">
        <v>0</v>
      </c>
      <c r="K67" s="8">
        <f t="shared" si="1"/>
        <v>0</v>
      </c>
    </row>
    <row r="68" spans="2:13" ht="15" x14ac:dyDescent="0.25">
      <c r="B68" s="5">
        <v>44135</v>
      </c>
      <c r="C68" s="9">
        <v>0</v>
      </c>
      <c r="D68" s="9">
        <v>-43.24</v>
      </c>
      <c r="E68" s="9"/>
      <c r="F68" s="6">
        <f t="shared" si="3"/>
        <v>-43.24</v>
      </c>
      <c r="G68" s="9">
        <v>0</v>
      </c>
      <c r="H68" s="6">
        <v>0</v>
      </c>
      <c r="I68" s="6">
        <v>0</v>
      </c>
      <c r="J68" s="8">
        <v>0</v>
      </c>
      <c r="K68" s="8">
        <f t="shared" si="1"/>
        <v>0</v>
      </c>
    </row>
    <row r="69" spans="2:13" ht="15" x14ac:dyDescent="0.25">
      <c r="B69" s="5">
        <v>44165</v>
      </c>
      <c r="C69" s="9">
        <v>0</v>
      </c>
      <c r="D69" s="9">
        <v>14.41</v>
      </c>
      <c r="E69" s="9"/>
      <c r="F69" s="6">
        <f t="shared" si="3"/>
        <v>14.41</v>
      </c>
      <c r="G69" s="9">
        <v>0</v>
      </c>
      <c r="H69" s="6">
        <v>0</v>
      </c>
      <c r="I69" s="6">
        <v>0</v>
      </c>
      <c r="J69" s="8">
        <v>0</v>
      </c>
      <c r="K69" s="8">
        <f t="shared" si="1"/>
        <v>0</v>
      </c>
    </row>
    <row r="70" spans="2:13" ht="15" x14ac:dyDescent="0.25">
      <c r="B70" s="5">
        <v>44196</v>
      </c>
      <c r="C70" s="9">
        <v>0</v>
      </c>
      <c r="D70" s="9">
        <v>143.94999999999999</v>
      </c>
      <c r="E70" s="9">
        <v>0</v>
      </c>
      <c r="F70" s="6">
        <f t="shared" si="3"/>
        <v>143.94999999999999</v>
      </c>
      <c r="G70" s="9">
        <v>0</v>
      </c>
      <c r="H70" s="6">
        <v>3201</v>
      </c>
      <c r="I70" s="6">
        <v>0</v>
      </c>
      <c r="J70" s="8">
        <v>0</v>
      </c>
      <c r="K70" s="8">
        <f t="shared" si="1"/>
        <v>3201</v>
      </c>
    </row>
    <row r="71" spans="2:13" ht="15" x14ac:dyDescent="0.25">
      <c r="B71" s="5">
        <v>44227</v>
      </c>
      <c r="C71" s="9">
        <v>0</v>
      </c>
      <c r="D71" s="9">
        <v>85.33</v>
      </c>
      <c r="E71" s="9">
        <v>0</v>
      </c>
      <c r="F71" s="6">
        <f t="shared" si="3"/>
        <v>85.33</v>
      </c>
      <c r="G71" s="9">
        <v>0</v>
      </c>
      <c r="H71" s="6">
        <v>0</v>
      </c>
      <c r="I71" s="6">
        <v>0</v>
      </c>
      <c r="J71" s="8">
        <v>0</v>
      </c>
      <c r="K71" s="8">
        <f t="shared" si="1"/>
        <v>0</v>
      </c>
    </row>
    <row r="72" spans="2:13" ht="15" x14ac:dyDescent="0.25">
      <c r="B72" s="5">
        <v>44255</v>
      </c>
      <c r="C72" s="9">
        <v>0</v>
      </c>
      <c r="D72" s="9">
        <v>-16.86</v>
      </c>
      <c r="E72" s="9">
        <v>0</v>
      </c>
      <c r="F72" s="6">
        <f t="shared" si="3"/>
        <v>-16.86</v>
      </c>
      <c r="G72" s="9">
        <v>0</v>
      </c>
      <c r="H72" s="6">
        <v>0</v>
      </c>
      <c r="I72" s="6">
        <v>0</v>
      </c>
      <c r="J72" s="8">
        <v>0</v>
      </c>
      <c r="K72" s="8">
        <f t="shared" si="1"/>
        <v>0</v>
      </c>
    </row>
    <row r="73" spans="2:13" ht="15" x14ac:dyDescent="0.25">
      <c r="B73" s="5">
        <v>44286</v>
      </c>
      <c r="C73" s="9">
        <v>0</v>
      </c>
      <c r="D73" s="9">
        <v>47.37</v>
      </c>
      <c r="E73" s="9">
        <v>0</v>
      </c>
      <c r="F73" s="6">
        <f t="shared" ref="F73:F74" si="4">C73+D73-E73</f>
        <v>47.37</v>
      </c>
      <c r="G73" s="9">
        <v>0</v>
      </c>
      <c r="H73" s="6">
        <v>0</v>
      </c>
      <c r="I73" s="6">
        <v>0</v>
      </c>
      <c r="J73" s="8">
        <v>0</v>
      </c>
      <c r="K73" s="8">
        <f t="shared" si="1"/>
        <v>0</v>
      </c>
    </row>
    <row r="74" spans="2:13" ht="15" x14ac:dyDescent="0.25">
      <c r="B74" s="5">
        <v>44316</v>
      </c>
      <c r="C74" s="9">
        <v>0</v>
      </c>
      <c r="D74" s="9">
        <v>30.87</v>
      </c>
      <c r="E74" s="9">
        <v>0.02</v>
      </c>
      <c r="F74" s="6">
        <f t="shared" si="4"/>
        <v>30.85</v>
      </c>
      <c r="G74" s="9">
        <v>0</v>
      </c>
      <c r="H74" s="6">
        <v>0</v>
      </c>
      <c r="I74" s="6">
        <v>0</v>
      </c>
      <c r="J74" s="8">
        <v>20650.02</v>
      </c>
      <c r="K74" s="8">
        <f t="shared" si="1"/>
        <v>20650.02</v>
      </c>
    </row>
    <row r="75" spans="2:13" ht="15" x14ac:dyDescent="0.25">
      <c r="B75" s="5"/>
      <c r="C75" s="9"/>
      <c r="D75" s="9"/>
      <c r="E75" s="9"/>
      <c r="F75" s="6"/>
      <c r="G75" s="9"/>
      <c r="H75" s="9"/>
      <c r="I75" s="9"/>
      <c r="J75" s="9"/>
      <c r="K75" s="8"/>
    </row>
    <row r="76" spans="2:13" ht="15" x14ac:dyDescent="0.25">
      <c r="B76" s="13" t="s">
        <v>35</v>
      </c>
      <c r="C76" s="14">
        <f>SUM(C14:C75)</f>
        <v>527024.95724197035</v>
      </c>
      <c r="D76" s="14">
        <f t="shared" ref="D76:I76" si="5">SUM(D14:D75)</f>
        <v>17283.770000000004</v>
      </c>
      <c r="E76" s="14">
        <f>SUM(E14:E75)</f>
        <v>3625.4300000000003</v>
      </c>
      <c r="F76" s="14">
        <f t="shared" si="5"/>
        <v>540683.2972419702</v>
      </c>
      <c r="G76" s="14">
        <f>SUM(G14:G75)</f>
        <v>8200</v>
      </c>
      <c r="H76" s="14">
        <f t="shared" si="5"/>
        <v>429047.55</v>
      </c>
      <c r="I76" s="14">
        <f t="shared" si="5"/>
        <v>223.79</v>
      </c>
      <c r="J76" s="14"/>
      <c r="K76" s="14">
        <f>SUM(K14:K75)</f>
        <v>458121.36000000004</v>
      </c>
      <c r="M76" s="38"/>
    </row>
    <row r="77" spans="2:13" x14ac:dyDescent="0.2">
      <c r="I77" s="38"/>
      <c r="J77" s="38"/>
    </row>
    <row r="78" spans="2:13" x14ac:dyDescent="0.2">
      <c r="B78" s="25" t="s">
        <v>23</v>
      </c>
      <c r="E78" s="38"/>
    </row>
    <row r="79" spans="2:13" x14ac:dyDescent="0.2">
      <c r="B79" s="26" t="s">
        <v>58</v>
      </c>
    </row>
    <row r="80" spans="2:13" x14ac:dyDescent="0.2">
      <c r="B80" s="26" t="s">
        <v>57</v>
      </c>
    </row>
    <row r="81" spans="2:8" x14ac:dyDescent="0.2">
      <c r="B81" s="26" t="s">
        <v>59</v>
      </c>
      <c r="H81" s="38"/>
    </row>
    <row r="82" spans="2:8" x14ac:dyDescent="0.2">
      <c r="H82" s="38"/>
    </row>
    <row r="84" spans="2:8" x14ac:dyDescent="0.2">
      <c r="G84" s="38"/>
    </row>
  </sheetData>
  <mergeCells count="5">
    <mergeCell ref="B2:K3"/>
    <mergeCell ref="B12:B13"/>
    <mergeCell ref="G12:K12"/>
    <mergeCell ref="C12:F12"/>
    <mergeCell ref="B11:K11"/>
  </mergeCell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83"/>
  <sheetViews>
    <sheetView showGridLines="0" topLeftCell="A47" zoomScaleNormal="100" workbookViewId="0">
      <selection activeCell="J76" sqref="J76"/>
    </sheetView>
  </sheetViews>
  <sheetFormatPr defaultColWidth="8.6640625" defaultRowHeight="11.25" x14ac:dyDescent="0.2"/>
  <cols>
    <col min="1" max="1" width="2.6640625" customWidth="1"/>
    <col min="2" max="2" width="17.6640625" customWidth="1"/>
    <col min="3" max="9" width="25.6640625" customWidth="1"/>
    <col min="10" max="10" width="17.5" bestFit="1" customWidth="1"/>
    <col min="11" max="11" width="62.6640625" customWidth="1"/>
    <col min="12" max="12" width="9.6640625" customWidth="1"/>
    <col min="13" max="13" width="8.6640625" customWidth="1"/>
  </cols>
  <sheetData>
    <row r="1" spans="2:16" ht="11.25" customHeight="1" x14ac:dyDescent="0.2">
      <c r="J1" s="1"/>
    </row>
    <row r="2" spans="2:16" ht="15" customHeight="1" x14ac:dyDescent="0.2">
      <c r="B2" s="71" t="s">
        <v>18</v>
      </c>
      <c r="C2" s="71"/>
      <c r="D2" s="71"/>
      <c r="E2" s="71"/>
      <c r="F2" s="71"/>
      <c r="G2" s="71"/>
      <c r="H2" s="71"/>
      <c r="I2" s="71"/>
    </row>
    <row r="3" spans="2:16" ht="15" customHeight="1" x14ac:dyDescent="0.2">
      <c r="B3" s="71"/>
      <c r="C3" s="71"/>
      <c r="D3" s="71"/>
      <c r="E3" s="71"/>
      <c r="F3" s="71"/>
      <c r="G3" s="71"/>
      <c r="H3" s="71"/>
      <c r="I3" s="71"/>
    </row>
    <row r="4" spans="2:16" ht="11.25" customHeight="1" x14ac:dyDescent="0.2"/>
    <row r="5" spans="2:16" s="15" customFormat="1" ht="19.899999999999999" customHeight="1" x14ac:dyDescent="0.25">
      <c r="B5" s="21" t="s">
        <v>39</v>
      </c>
      <c r="C5" s="21"/>
      <c r="D5" s="21"/>
      <c r="E5" s="21"/>
      <c r="F5" s="22" t="s">
        <v>2</v>
      </c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2:16" s="15" customFormat="1" ht="6" customHeight="1" x14ac:dyDescent="0.3">
      <c r="B6" s="16"/>
      <c r="C6" s="16"/>
      <c r="D6" s="16"/>
      <c r="E6" s="16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2:16" s="15" customFormat="1" ht="19.899999999999999" customHeight="1" x14ac:dyDescent="0.25">
      <c r="B7" s="21" t="s">
        <v>40</v>
      </c>
      <c r="C7" s="21"/>
      <c r="D7" s="21"/>
      <c r="E7" s="21"/>
      <c r="F7" s="22" t="s">
        <v>43</v>
      </c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2:16" ht="6" customHeight="1" x14ac:dyDescent="0.2">
      <c r="B8" s="23"/>
      <c r="C8" s="23"/>
      <c r="D8" s="23"/>
      <c r="E8" s="23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2:16" ht="15.75" x14ac:dyDescent="0.25">
      <c r="B9" s="24" t="s">
        <v>53</v>
      </c>
      <c r="C9" s="24"/>
      <c r="D9" s="24"/>
      <c r="E9" s="24"/>
      <c r="F9" s="24"/>
      <c r="G9" s="24"/>
      <c r="H9" s="24"/>
      <c r="I9" s="24"/>
    </row>
    <row r="10" spans="2:16" ht="10.15" customHeight="1" x14ac:dyDescent="0.3">
      <c r="B10" s="19"/>
      <c r="C10" s="19"/>
      <c r="D10" s="19"/>
      <c r="E10" s="19"/>
      <c r="F10" s="19"/>
      <c r="G10" s="19"/>
      <c r="H10" s="19"/>
      <c r="I10" s="19"/>
    </row>
    <row r="11" spans="2:16" ht="75" customHeight="1" x14ac:dyDescent="0.3">
      <c r="B11" s="70"/>
      <c r="C11" s="70"/>
      <c r="D11" s="70"/>
      <c r="E11" s="70"/>
      <c r="F11" s="70"/>
      <c r="G11" s="70"/>
      <c r="H11" s="70"/>
      <c r="I11" s="70"/>
      <c r="J11" s="30"/>
      <c r="K11" s="30"/>
      <c r="L11" s="30"/>
      <c r="M11" s="30"/>
      <c r="N11" s="30"/>
      <c r="O11" s="20"/>
      <c r="P11" s="20"/>
    </row>
    <row r="12" spans="2:16" ht="15" customHeight="1" x14ac:dyDescent="0.2">
      <c r="B12" s="80" t="s">
        <v>2</v>
      </c>
      <c r="C12" s="73" t="s">
        <v>6</v>
      </c>
      <c r="D12" s="73"/>
      <c r="E12" s="73"/>
      <c r="F12" s="73"/>
      <c r="G12" s="85" t="s">
        <v>71</v>
      </c>
      <c r="H12" s="85" t="s">
        <v>72</v>
      </c>
      <c r="I12" s="85" t="s">
        <v>36</v>
      </c>
      <c r="J12" s="85" t="s">
        <v>73</v>
      </c>
    </row>
    <row r="13" spans="2:16" ht="15" customHeight="1" x14ac:dyDescent="0.2">
      <c r="B13" s="81"/>
      <c r="C13" s="4" t="s">
        <v>33</v>
      </c>
      <c r="D13" s="4" t="s">
        <v>34</v>
      </c>
      <c r="E13" s="28" t="s">
        <v>48</v>
      </c>
      <c r="F13" s="4" t="s">
        <v>35</v>
      </c>
      <c r="G13" s="86"/>
      <c r="H13" s="86"/>
      <c r="I13" s="86"/>
      <c r="J13" s="86"/>
    </row>
    <row r="14" spans="2:16" ht="14.45" x14ac:dyDescent="0.3">
      <c r="B14" s="5">
        <v>42490</v>
      </c>
      <c r="C14" s="6">
        <v>1069416.1299999999</v>
      </c>
      <c r="D14" s="8">
        <v>0</v>
      </c>
      <c r="E14" s="8">
        <v>0</v>
      </c>
      <c r="F14" s="6">
        <f>C14+D14-E14</f>
        <v>1069416.1299999999</v>
      </c>
      <c r="G14" s="6">
        <v>8243.89</v>
      </c>
      <c r="H14" s="6"/>
      <c r="I14" s="8">
        <v>549436.55000000005</v>
      </c>
      <c r="J14" s="8">
        <f>G14+H14+I14</f>
        <v>557680.44000000006</v>
      </c>
      <c r="K14" s="43"/>
    </row>
    <row r="15" spans="2:16" ht="14.45" x14ac:dyDescent="0.3">
      <c r="B15" s="5">
        <v>42521</v>
      </c>
      <c r="C15" s="8">
        <v>1073090.97</v>
      </c>
      <c r="D15" s="8">
        <v>0</v>
      </c>
      <c r="E15" s="8">
        <v>0</v>
      </c>
      <c r="F15" s="6">
        <f t="shared" ref="F15:F53" si="0">C15+D15-E15</f>
        <v>1073090.97</v>
      </c>
      <c r="G15" s="6">
        <v>52242.58</v>
      </c>
      <c r="H15" s="6"/>
      <c r="I15" s="8">
        <v>955302.05</v>
      </c>
      <c r="J15" s="8">
        <f t="shared" ref="J15:J66" si="1">G15+H15+I15</f>
        <v>1007544.63</v>
      </c>
      <c r="K15" s="43"/>
    </row>
    <row r="16" spans="2:16" ht="14.45" x14ac:dyDescent="0.3">
      <c r="B16" s="5">
        <v>42551</v>
      </c>
      <c r="C16" s="8">
        <v>1005486.27</v>
      </c>
      <c r="D16" s="8">
        <f>10664.21</f>
        <v>10664.21</v>
      </c>
      <c r="E16" s="8">
        <v>166.37</v>
      </c>
      <c r="F16" s="6">
        <f t="shared" si="0"/>
        <v>1015984.11</v>
      </c>
      <c r="G16" s="6">
        <v>94174.080000000002</v>
      </c>
      <c r="H16" s="6">
        <f>29.5+252.78</f>
        <v>282.27999999999997</v>
      </c>
      <c r="I16" s="8">
        <v>1151495.4099999999</v>
      </c>
      <c r="J16" s="8">
        <f t="shared" si="1"/>
        <v>1245951.77</v>
      </c>
      <c r="K16" s="43"/>
    </row>
    <row r="17" spans="2:11" ht="14.45" x14ac:dyDescent="0.3">
      <c r="B17" s="5">
        <v>42582</v>
      </c>
      <c r="C17" s="8">
        <v>987881.95</v>
      </c>
      <c r="D17" s="8">
        <f>13573.81</f>
        <v>13573.81</v>
      </c>
      <c r="E17" s="8">
        <v>3257.02</v>
      </c>
      <c r="F17" s="6">
        <f t="shared" si="0"/>
        <v>998198.74</v>
      </c>
      <c r="G17" s="6">
        <v>66175.039999999994</v>
      </c>
      <c r="H17" s="6">
        <v>14.17</v>
      </c>
      <c r="I17" s="8">
        <v>925601.68</v>
      </c>
      <c r="J17" s="8">
        <f t="shared" si="1"/>
        <v>991790.89</v>
      </c>
      <c r="K17" s="43"/>
    </row>
    <row r="18" spans="2:11" ht="14.45" x14ac:dyDescent="0.3">
      <c r="B18" s="5">
        <v>42613</v>
      </c>
      <c r="C18" s="8">
        <v>1001628.34</v>
      </c>
      <c r="D18" s="8">
        <f>14547.71</f>
        <v>14547.71</v>
      </c>
      <c r="E18" s="8">
        <v>3464.89</v>
      </c>
      <c r="F18" s="6">
        <f t="shared" si="0"/>
        <v>1012711.1599999999</v>
      </c>
      <c r="G18" s="6">
        <v>91730.5</v>
      </c>
      <c r="H18" s="6">
        <v>21.1</v>
      </c>
      <c r="I18" s="8">
        <v>955648.74</v>
      </c>
      <c r="J18" s="8">
        <f t="shared" si="1"/>
        <v>1047400.34</v>
      </c>
      <c r="K18" s="43"/>
    </row>
    <row r="19" spans="2:11" ht="14.45" x14ac:dyDescent="0.3">
      <c r="B19" s="5">
        <v>42643</v>
      </c>
      <c r="C19" s="9">
        <v>1038339.01</v>
      </c>
      <c r="D19" s="9">
        <f>4301.41</f>
        <v>4301.41</v>
      </c>
      <c r="E19" s="9">
        <v>1956.45</v>
      </c>
      <c r="F19" s="6">
        <f t="shared" si="0"/>
        <v>1040683.9700000001</v>
      </c>
      <c r="G19" s="6">
        <v>54052.73</v>
      </c>
      <c r="H19" s="6"/>
      <c r="I19" s="9">
        <v>411798.28</v>
      </c>
      <c r="J19" s="8">
        <f t="shared" si="1"/>
        <v>465851.01</v>
      </c>
      <c r="K19" s="43"/>
    </row>
    <row r="20" spans="2:11" ht="14.45" x14ac:dyDescent="0.3">
      <c r="B20" s="5">
        <v>42674</v>
      </c>
      <c r="C20" s="9">
        <v>1012452.31</v>
      </c>
      <c r="D20" s="9">
        <f>813.33</f>
        <v>813.33</v>
      </c>
      <c r="E20" s="9">
        <v>874.53</v>
      </c>
      <c r="F20" s="6">
        <f t="shared" si="0"/>
        <v>1012391.11</v>
      </c>
      <c r="G20" s="6">
        <v>73658.39</v>
      </c>
      <c r="H20" s="6">
        <f>371.48-50.6</f>
        <v>320.88</v>
      </c>
      <c r="I20" s="9">
        <v>1568929.8</v>
      </c>
      <c r="J20" s="8">
        <f t="shared" si="1"/>
        <v>1642909.07</v>
      </c>
      <c r="K20" s="43"/>
    </row>
    <row r="21" spans="2:11" ht="14.45" x14ac:dyDescent="0.3">
      <c r="B21" s="5">
        <v>42704</v>
      </c>
      <c r="C21" s="9">
        <v>1015991.43</v>
      </c>
      <c r="D21" s="9">
        <f>139.86</f>
        <v>139.86000000000001</v>
      </c>
      <c r="E21" s="9">
        <v>13.99</v>
      </c>
      <c r="F21" s="6">
        <f t="shared" si="0"/>
        <v>1016117.3</v>
      </c>
      <c r="G21" s="6">
        <v>77214.929999999993</v>
      </c>
      <c r="H21" s="6">
        <v>132.19999999999999</v>
      </c>
      <c r="I21" s="9">
        <v>983757.56</v>
      </c>
      <c r="J21" s="8">
        <f t="shared" si="1"/>
        <v>1061104.69</v>
      </c>
      <c r="K21" s="43"/>
    </row>
    <row r="22" spans="2:11" ht="14.45" x14ac:dyDescent="0.3">
      <c r="B22" s="5">
        <v>42735</v>
      </c>
      <c r="C22" s="9">
        <v>1036132.78</v>
      </c>
      <c r="D22" s="9">
        <v>723.57</v>
      </c>
      <c r="E22" s="9">
        <v>35.49</v>
      </c>
      <c r="F22" s="6">
        <f t="shared" si="0"/>
        <v>1036820.86</v>
      </c>
      <c r="G22" s="6">
        <v>62528.61</v>
      </c>
      <c r="H22" s="6">
        <v>519.48</v>
      </c>
      <c r="I22" s="9">
        <v>1006536.88</v>
      </c>
      <c r="J22" s="8">
        <f t="shared" si="1"/>
        <v>1069584.97</v>
      </c>
      <c r="K22" s="43"/>
    </row>
    <row r="23" spans="2:11" ht="14.45" x14ac:dyDescent="0.3">
      <c r="B23" s="5">
        <v>42766</v>
      </c>
      <c r="C23" s="9">
        <v>1130684.8999999999</v>
      </c>
      <c r="D23" s="9">
        <v>57.97</v>
      </c>
      <c r="E23" s="9">
        <v>5.77</v>
      </c>
      <c r="F23" s="6">
        <f t="shared" si="0"/>
        <v>1130737.0999999999</v>
      </c>
      <c r="G23" s="6">
        <v>77944.039999999994</v>
      </c>
      <c r="H23" s="6">
        <v>80.290000000000006</v>
      </c>
      <c r="I23" s="9">
        <v>915813.24</v>
      </c>
      <c r="J23" s="8">
        <f t="shared" si="1"/>
        <v>993837.57</v>
      </c>
      <c r="K23" s="43"/>
    </row>
    <row r="24" spans="2:11" ht="14.45" x14ac:dyDescent="0.3">
      <c r="B24" s="5">
        <v>42794</v>
      </c>
      <c r="C24" s="9">
        <v>1060432.1499999999</v>
      </c>
      <c r="D24" s="9">
        <v>118.84</v>
      </c>
      <c r="E24" s="9">
        <v>6.49</v>
      </c>
      <c r="F24" s="6">
        <f t="shared" si="0"/>
        <v>1060544.5</v>
      </c>
      <c r="G24" s="6">
        <v>93904.16</v>
      </c>
      <c r="H24" s="6">
        <v>63.83</v>
      </c>
      <c r="I24" s="9">
        <v>1008640.86</v>
      </c>
      <c r="J24" s="8">
        <f t="shared" si="1"/>
        <v>1102608.8500000001</v>
      </c>
      <c r="K24" s="43"/>
    </row>
    <row r="25" spans="2:11" ht="14.45" x14ac:dyDescent="0.3">
      <c r="B25" s="5">
        <v>42825</v>
      </c>
      <c r="C25" s="9">
        <v>1083512.3</v>
      </c>
      <c r="D25" s="9">
        <v>92.46</v>
      </c>
      <c r="E25" s="9">
        <v>12.96</v>
      </c>
      <c r="F25" s="6">
        <f t="shared" si="0"/>
        <v>1083591.8</v>
      </c>
      <c r="G25" s="6">
        <v>70833.25</v>
      </c>
      <c r="H25" s="6">
        <v>66.12</v>
      </c>
      <c r="I25" s="9">
        <v>1029752.16</v>
      </c>
      <c r="J25" s="8">
        <f t="shared" si="1"/>
        <v>1100651.53</v>
      </c>
      <c r="K25" s="43"/>
    </row>
    <row r="26" spans="2:11" ht="14.45" x14ac:dyDescent="0.3">
      <c r="B26" s="5">
        <v>42855</v>
      </c>
      <c r="C26" s="9">
        <v>1104281.19</v>
      </c>
      <c r="D26" s="9">
        <v>14.48</v>
      </c>
      <c r="E26" s="9">
        <v>0</v>
      </c>
      <c r="F26" s="6">
        <f t="shared" si="0"/>
        <v>1104295.67</v>
      </c>
      <c r="G26" s="6">
        <v>58950.49</v>
      </c>
      <c r="H26" s="6">
        <v>0</v>
      </c>
      <c r="I26" s="9">
        <v>874166.08</v>
      </c>
      <c r="J26" s="8">
        <f t="shared" si="1"/>
        <v>933116.57</v>
      </c>
      <c r="K26" s="43"/>
    </row>
    <row r="27" spans="2:11" ht="14.45" x14ac:dyDescent="0.3">
      <c r="B27" s="5">
        <v>42886</v>
      </c>
      <c r="C27" s="9">
        <v>1035072.4</v>
      </c>
      <c r="D27" s="9">
        <f>191.3+0.23</f>
        <v>191.53</v>
      </c>
      <c r="E27" s="9">
        <v>14.4</v>
      </c>
      <c r="F27" s="6">
        <f t="shared" si="0"/>
        <v>1035249.53</v>
      </c>
      <c r="G27" s="6">
        <v>65384.9</v>
      </c>
      <c r="H27" s="6">
        <v>134.44</v>
      </c>
      <c r="I27" s="9">
        <v>778416.7</v>
      </c>
      <c r="J27" s="8">
        <f t="shared" si="1"/>
        <v>843936.03999999992</v>
      </c>
      <c r="K27" s="43"/>
    </row>
    <row r="28" spans="2:11" ht="14.45" x14ac:dyDescent="0.3">
      <c r="B28" s="5">
        <v>42916</v>
      </c>
      <c r="C28" s="9">
        <v>1068702.7</v>
      </c>
      <c r="D28" s="9">
        <f>365.64+434</f>
        <v>799.64</v>
      </c>
      <c r="E28" s="9">
        <v>19.29</v>
      </c>
      <c r="F28" s="6">
        <f t="shared" si="0"/>
        <v>1069483.0499999998</v>
      </c>
      <c r="G28" s="6">
        <v>71945.240000000005</v>
      </c>
      <c r="H28" s="6">
        <v>286.58</v>
      </c>
      <c r="I28" s="9">
        <v>1273010.75</v>
      </c>
      <c r="J28" s="8">
        <f t="shared" si="1"/>
        <v>1345242.57</v>
      </c>
      <c r="K28" s="43"/>
    </row>
    <row r="29" spans="2:11" ht="14.45" x14ac:dyDescent="0.3">
      <c r="B29" s="5">
        <v>42947</v>
      </c>
      <c r="C29" s="9">
        <v>1077190.1299999999</v>
      </c>
      <c r="D29" s="9">
        <v>237.22</v>
      </c>
      <c r="E29" s="9">
        <f>14.68</f>
        <v>14.68</v>
      </c>
      <c r="F29" s="6">
        <f t="shared" si="0"/>
        <v>1077412.67</v>
      </c>
      <c r="G29" s="6">
        <v>91578.23</v>
      </c>
      <c r="H29" s="6">
        <v>169.04</v>
      </c>
      <c r="I29" s="9">
        <v>880104.55</v>
      </c>
      <c r="J29" s="8">
        <f t="shared" si="1"/>
        <v>971851.82000000007</v>
      </c>
      <c r="K29" s="43"/>
    </row>
    <row r="30" spans="2:11" ht="14.45" x14ac:dyDescent="0.3">
      <c r="B30" s="5">
        <v>42978</v>
      </c>
      <c r="C30" s="9">
        <v>1100753.55</v>
      </c>
      <c r="D30" s="9">
        <v>84.13</v>
      </c>
      <c r="E30" s="9">
        <f>4.4</f>
        <v>4.4000000000000004</v>
      </c>
      <c r="F30" s="6">
        <f t="shared" si="0"/>
        <v>1100833.28</v>
      </c>
      <c r="G30" s="6">
        <v>74273.97</v>
      </c>
      <c r="H30" s="6">
        <v>52.37</v>
      </c>
      <c r="I30" s="9">
        <v>1027787.3</v>
      </c>
      <c r="J30" s="8">
        <f t="shared" si="1"/>
        <v>1102113.6400000001</v>
      </c>
      <c r="K30" s="43"/>
    </row>
    <row r="31" spans="2:11" ht="14.45" x14ac:dyDescent="0.3">
      <c r="B31" s="5">
        <v>43008</v>
      </c>
      <c r="C31" s="9">
        <v>1141641.27</v>
      </c>
      <c r="D31" s="9">
        <v>98.35</v>
      </c>
      <c r="E31" s="9">
        <v>15.53</v>
      </c>
      <c r="F31" s="6">
        <f t="shared" si="0"/>
        <v>1141724.0900000001</v>
      </c>
      <c r="G31" s="6">
        <v>75919.31</v>
      </c>
      <c r="H31" s="6">
        <v>44.89</v>
      </c>
      <c r="I31" s="9">
        <v>1252088.79</v>
      </c>
      <c r="J31" s="8">
        <f t="shared" si="1"/>
        <v>1328052.99</v>
      </c>
      <c r="K31" s="43"/>
    </row>
    <row r="32" spans="2:11" ht="14.45" x14ac:dyDescent="0.3">
      <c r="B32" s="5">
        <v>43039</v>
      </c>
      <c r="C32" s="9">
        <v>1184422.08</v>
      </c>
      <c r="D32" s="9">
        <v>98.38</v>
      </c>
      <c r="E32" s="9">
        <v>12.11</v>
      </c>
      <c r="F32" s="6">
        <f t="shared" si="0"/>
        <v>1184508.3499999999</v>
      </c>
      <c r="G32" s="6">
        <v>70178.149999999994</v>
      </c>
      <c r="H32" s="6">
        <v>0</v>
      </c>
      <c r="I32" s="9">
        <v>1149608.07</v>
      </c>
      <c r="J32" s="8">
        <f t="shared" si="1"/>
        <v>1219786.22</v>
      </c>
      <c r="K32" s="43"/>
    </row>
    <row r="33" spans="2:11" ht="14.45" x14ac:dyDescent="0.3">
      <c r="B33" s="5">
        <v>43069</v>
      </c>
      <c r="C33" s="9">
        <v>1156248.55</v>
      </c>
      <c r="D33" s="9">
        <v>1.67</v>
      </c>
      <c r="E33" s="9">
        <v>0.54</v>
      </c>
      <c r="F33" s="6">
        <f t="shared" si="0"/>
        <v>1156249.68</v>
      </c>
      <c r="G33" s="6">
        <v>89574.99</v>
      </c>
      <c r="H33" s="6">
        <v>44.82</v>
      </c>
      <c r="I33" s="9">
        <v>777043.48</v>
      </c>
      <c r="J33" s="8">
        <f t="shared" si="1"/>
        <v>866663.29</v>
      </c>
      <c r="K33" s="43"/>
    </row>
    <row r="34" spans="2:11" ht="14.45" x14ac:dyDescent="0.3">
      <c r="B34" s="5">
        <v>43100</v>
      </c>
      <c r="C34" s="9">
        <v>1067678.49</v>
      </c>
      <c r="D34" s="9">
        <v>34.03</v>
      </c>
      <c r="E34" s="9">
        <v>0.69</v>
      </c>
      <c r="F34" s="6">
        <f t="shared" si="0"/>
        <v>1067711.83</v>
      </c>
      <c r="G34" s="6">
        <v>52418.31</v>
      </c>
      <c r="H34" s="6">
        <v>31.1</v>
      </c>
      <c r="I34" s="9">
        <v>1165201.96</v>
      </c>
      <c r="J34" s="8">
        <f t="shared" si="1"/>
        <v>1217651.3699999999</v>
      </c>
      <c r="K34" s="43"/>
    </row>
    <row r="35" spans="2:11" ht="14.45" x14ac:dyDescent="0.3">
      <c r="B35" s="5">
        <v>43131</v>
      </c>
      <c r="C35" s="9">
        <v>1090799.28</v>
      </c>
      <c r="D35" s="9">
        <v>4.5</v>
      </c>
      <c r="E35" s="9">
        <f>1.09</f>
        <v>1.0900000000000001</v>
      </c>
      <c r="F35" s="6">
        <f t="shared" si="0"/>
        <v>1090802.69</v>
      </c>
      <c r="G35" s="6">
        <v>91744.97</v>
      </c>
      <c r="H35" s="6">
        <v>0.36</v>
      </c>
      <c r="I35" s="9">
        <v>959938.35</v>
      </c>
      <c r="J35" s="8">
        <f t="shared" si="1"/>
        <v>1051683.68</v>
      </c>
      <c r="K35" s="43"/>
    </row>
    <row r="36" spans="2:11" ht="14.45" x14ac:dyDescent="0.3">
      <c r="B36" s="5">
        <v>43159</v>
      </c>
      <c r="C36" s="9">
        <v>1134748.22</v>
      </c>
      <c r="D36" s="9">
        <v>61.59</v>
      </c>
      <c r="E36" s="9">
        <v>2.84</v>
      </c>
      <c r="F36" s="6">
        <f t="shared" si="0"/>
        <v>1134806.97</v>
      </c>
      <c r="G36" s="6">
        <v>78250.23</v>
      </c>
      <c r="H36" s="6">
        <v>47.19</v>
      </c>
      <c r="I36" s="9">
        <v>779496.64</v>
      </c>
      <c r="J36" s="8">
        <f t="shared" si="1"/>
        <v>857794.06</v>
      </c>
      <c r="K36" s="43"/>
    </row>
    <row r="37" spans="2:11" ht="14.45" x14ac:dyDescent="0.3">
      <c r="B37" s="5">
        <v>43190</v>
      </c>
      <c r="C37" s="9">
        <v>1091354.17</v>
      </c>
      <c r="D37" s="9">
        <v>174.74</v>
      </c>
      <c r="E37" s="9">
        <v>7.28</v>
      </c>
      <c r="F37" s="6">
        <f t="shared" si="0"/>
        <v>1091521.6299999999</v>
      </c>
      <c r="G37" s="6">
        <v>55192.18</v>
      </c>
      <c r="H37" s="6">
        <v>140.02000000000001</v>
      </c>
      <c r="I37" s="9">
        <v>732961.12</v>
      </c>
      <c r="J37" s="8">
        <f t="shared" si="1"/>
        <v>788293.32</v>
      </c>
      <c r="K37" s="43"/>
    </row>
    <row r="38" spans="2:11" ht="14.45" x14ac:dyDescent="0.3">
      <c r="B38" s="5">
        <v>43220</v>
      </c>
      <c r="C38" s="9">
        <v>1163131.56</v>
      </c>
      <c r="D38" s="9">
        <v>3.82</v>
      </c>
      <c r="E38" s="9">
        <v>1.72</v>
      </c>
      <c r="F38" s="6">
        <f t="shared" si="0"/>
        <v>1163133.6600000001</v>
      </c>
      <c r="G38" s="6">
        <v>97342.46</v>
      </c>
      <c r="H38" s="6">
        <v>0</v>
      </c>
      <c r="I38" s="9">
        <v>1575880.03</v>
      </c>
      <c r="J38" s="8">
        <f t="shared" si="1"/>
        <v>1673222.49</v>
      </c>
      <c r="K38" s="43"/>
    </row>
    <row r="39" spans="2:11" ht="14.45" x14ac:dyDescent="0.3">
      <c r="B39" s="5">
        <v>43251</v>
      </c>
      <c r="C39" s="9">
        <v>1090788.22</v>
      </c>
      <c r="D39" s="9">
        <v>173.74</v>
      </c>
      <c r="E39" s="9">
        <v>9.2899999999999991</v>
      </c>
      <c r="F39" s="6">
        <f t="shared" si="0"/>
        <v>1090952.67</v>
      </c>
      <c r="G39" s="6">
        <v>105460.37</v>
      </c>
      <c r="H39" s="6">
        <v>120.64</v>
      </c>
      <c r="I39" s="9">
        <v>1065709.49</v>
      </c>
      <c r="J39" s="8">
        <f t="shared" si="1"/>
        <v>1171290.5</v>
      </c>
      <c r="K39" s="43"/>
    </row>
    <row r="40" spans="2:11" ht="14.45" x14ac:dyDescent="0.3">
      <c r="B40" s="5">
        <v>43281</v>
      </c>
      <c r="C40" s="9">
        <v>1128902.8899999999</v>
      </c>
      <c r="D40" s="9">
        <v>348.72</v>
      </c>
      <c r="E40" s="9">
        <v>24.23</v>
      </c>
      <c r="F40" s="6">
        <f t="shared" si="0"/>
        <v>1129227.3799999999</v>
      </c>
      <c r="G40" s="6">
        <v>76440.710000000006</v>
      </c>
      <c r="H40" s="6">
        <v>176.49</v>
      </c>
      <c r="I40" s="9">
        <v>934958.71</v>
      </c>
      <c r="J40" s="8">
        <f t="shared" si="1"/>
        <v>1011575.9099999999</v>
      </c>
      <c r="K40" s="43"/>
    </row>
    <row r="41" spans="2:11" ht="14.45" x14ac:dyDescent="0.3">
      <c r="B41" s="5">
        <v>43312</v>
      </c>
      <c r="C41" s="9">
        <v>1200039.98</v>
      </c>
      <c r="D41" s="9">
        <v>183.2</v>
      </c>
      <c r="E41" s="9">
        <v>28.09</v>
      </c>
      <c r="F41" s="6">
        <f t="shared" si="0"/>
        <v>1200195.0899999999</v>
      </c>
      <c r="G41" s="6">
        <v>65702.240000000005</v>
      </c>
      <c r="H41" s="6">
        <v>118.84</v>
      </c>
      <c r="I41" s="9">
        <v>930258.11</v>
      </c>
      <c r="J41" s="8">
        <f t="shared" si="1"/>
        <v>996079.19</v>
      </c>
      <c r="K41" s="43"/>
    </row>
    <row r="42" spans="2:11" ht="14.45" x14ac:dyDescent="0.3">
      <c r="B42" s="5">
        <v>43343</v>
      </c>
      <c r="C42" s="9">
        <v>1073282.71</v>
      </c>
      <c r="D42" s="9">
        <v>866.79</v>
      </c>
      <c r="E42" s="9">
        <v>103.15</v>
      </c>
      <c r="F42" s="6">
        <f t="shared" si="0"/>
        <v>1074046.3500000001</v>
      </c>
      <c r="G42" s="6">
        <v>68843.320000000007</v>
      </c>
      <c r="H42" s="6">
        <v>341.55</v>
      </c>
      <c r="I42" s="9">
        <v>865956.94</v>
      </c>
      <c r="J42" s="8">
        <f t="shared" si="1"/>
        <v>935141.80999999994</v>
      </c>
      <c r="K42" s="43"/>
    </row>
    <row r="43" spans="2:11" ht="14.45" x14ac:dyDescent="0.3">
      <c r="B43" s="5">
        <v>43373</v>
      </c>
      <c r="C43" s="9">
        <v>1144892.04</v>
      </c>
      <c r="D43" s="9">
        <v>579.29999999999995</v>
      </c>
      <c r="E43" s="9">
        <v>51.1</v>
      </c>
      <c r="F43" s="6">
        <f t="shared" si="0"/>
        <v>1145420.24</v>
      </c>
      <c r="G43" s="6">
        <v>61471.61</v>
      </c>
      <c r="H43" s="6">
        <v>324.60000000000002</v>
      </c>
      <c r="I43" s="9">
        <v>1102414.67</v>
      </c>
      <c r="J43" s="8">
        <f t="shared" si="1"/>
        <v>1164210.8799999999</v>
      </c>
      <c r="K43" s="43"/>
    </row>
    <row r="44" spans="2:11" ht="14.45" x14ac:dyDescent="0.3">
      <c r="B44" s="5">
        <v>43404</v>
      </c>
      <c r="C44" s="9">
        <v>1218158.6599999999</v>
      </c>
      <c r="D44" s="9">
        <v>97.23</v>
      </c>
      <c r="E44" s="9">
        <v>41.2</v>
      </c>
      <c r="F44" s="6">
        <f t="shared" si="0"/>
        <v>1218214.69</v>
      </c>
      <c r="G44" s="6">
        <v>81677.72</v>
      </c>
      <c r="H44" s="6">
        <v>0</v>
      </c>
      <c r="I44" s="9">
        <v>1192899.51</v>
      </c>
      <c r="J44" s="8">
        <f t="shared" si="1"/>
        <v>1274577.23</v>
      </c>
      <c r="K44" s="43"/>
    </row>
    <row r="45" spans="2:11" ht="14.45" x14ac:dyDescent="0.3">
      <c r="B45" s="5">
        <v>43434</v>
      </c>
      <c r="C45" s="9">
        <v>1213711.47</v>
      </c>
      <c r="D45" s="9">
        <v>12.04</v>
      </c>
      <c r="E45" s="9">
        <v>8.1999999999999993</v>
      </c>
      <c r="F45" s="6">
        <f t="shared" si="0"/>
        <v>1213715.31</v>
      </c>
      <c r="G45" s="6">
        <v>94408.85</v>
      </c>
      <c r="H45" s="6">
        <v>0</v>
      </c>
      <c r="I45" s="9">
        <v>1159515.96</v>
      </c>
      <c r="J45" s="8">
        <f t="shared" si="1"/>
        <v>1253924.81</v>
      </c>
      <c r="K45" s="43"/>
    </row>
    <row r="46" spans="2:11" ht="14.45" x14ac:dyDescent="0.3">
      <c r="B46" s="5">
        <v>43465</v>
      </c>
      <c r="C46" s="9">
        <v>1180327.42</v>
      </c>
      <c r="D46" s="9">
        <f>670.63+0.06</f>
        <v>670.68999999999994</v>
      </c>
      <c r="E46" s="9">
        <v>50.46</v>
      </c>
      <c r="F46" s="6">
        <f t="shared" si="0"/>
        <v>1180947.6499999999</v>
      </c>
      <c r="G46" s="6">
        <v>85335.679999999993</v>
      </c>
      <c r="H46" s="6">
        <f>303.54-1</f>
        <v>302.54000000000002</v>
      </c>
      <c r="I46" s="9">
        <v>1193145.7</v>
      </c>
      <c r="J46" s="8">
        <f t="shared" si="1"/>
        <v>1278783.92</v>
      </c>
      <c r="K46" s="43"/>
    </row>
    <row r="47" spans="2:11" ht="14.45" x14ac:dyDescent="0.3">
      <c r="B47" s="5">
        <v>43496</v>
      </c>
      <c r="C47" s="9">
        <v>1216918.9099999999</v>
      </c>
      <c r="D47" s="9">
        <v>657.71</v>
      </c>
      <c r="E47" s="9">
        <v>82.5</v>
      </c>
      <c r="F47" s="6">
        <f t="shared" si="0"/>
        <v>1217494.1199999999</v>
      </c>
      <c r="G47" s="6">
        <v>92280.41</v>
      </c>
      <c r="H47" s="6">
        <v>433.52</v>
      </c>
      <c r="I47" s="9">
        <v>1003134.31</v>
      </c>
      <c r="J47" s="8">
        <f t="shared" si="1"/>
        <v>1095848.24</v>
      </c>
      <c r="K47" s="43"/>
    </row>
    <row r="48" spans="2:11" ht="14.45" x14ac:dyDescent="0.3">
      <c r="B48" s="5">
        <v>43524</v>
      </c>
      <c r="C48" s="9">
        <v>1186600.01</v>
      </c>
      <c r="D48" s="9">
        <v>1089.3399999999999</v>
      </c>
      <c r="E48" s="9">
        <v>102.64</v>
      </c>
      <c r="F48" s="6">
        <f t="shared" si="0"/>
        <v>1187586.7100000002</v>
      </c>
      <c r="G48" s="6">
        <v>81658.3</v>
      </c>
      <c r="H48" s="6">
        <v>456.74</v>
      </c>
      <c r="I48" s="9">
        <v>1239802.6000000001</v>
      </c>
      <c r="J48" s="8">
        <f t="shared" si="1"/>
        <v>1321917.6400000001</v>
      </c>
      <c r="K48" s="43"/>
    </row>
    <row r="49" spans="2:11" ht="14.45" x14ac:dyDescent="0.3">
      <c r="B49" s="5">
        <v>43555</v>
      </c>
      <c r="C49" s="9">
        <v>1195637.97</v>
      </c>
      <c r="D49" s="9">
        <v>203.23</v>
      </c>
      <c r="E49" s="9">
        <v>68.069999999999993</v>
      </c>
      <c r="F49" s="6">
        <f t="shared" si="0"/>
        <v>1195773.1299999999</v>
      </c>
      <c r="G49" s="6">
        <v>94422.42</v>
      </c>
      <c r="H49" s="6">
        <v>34.409999999999997</v>
      </c>
      <c r="I49" s="9">
        <v>1292458.81</v>
      </c>
      <c r="J49" s="8">
        <f t="shared" si="1"/>
        <v>1386915.6400000001</v>
      </c>
      <c r="K49" s="43"/>
    </row>
    <row r="50" spans="2:11" ht="14.45" x14ac:dyDescent="0.3">
      <c r="B50" s="5">
        <v>43585</v>
      </c>
      <c r="C50" s="9">
        <v>1201913.33</v>
      </c>
      <c r="D50" s="9">
        <v>737.88</v>
      </c>
      <c r="E50" s="9">
        <v>102.22</v>
      </c>
      <c r="F50" s="6">
        <f t="shared" si="0"/>
        <v>1202548.99</v>
      </c>
      <c r="G50" s="6">
        <v>103451.77</v>
      </c>
      <c r="H50" s="6">
        <v>325.72000000000003</v>
      </c>
      <c r="I50" s="9">
        <v>1338186.83</v>
      </c>
      <c r="J50" s="8">
        <f t="shared" si="1"/>
        <v>1441964.32</v>
      </c>
      <c r="K50" s="43"/>
    </row>
    <row r="51" spans="2:11" ht="14.45" x14ac:dyDescent="0.3">
      <c r="B51" s="5">
        <v>43616</v>
      </c>
      <c r="C51" s="9">
        <v>1237157.32</v>
      </c>
      <c r="D51" s="9">
        <v>790.52</v>
      </c>
      <c r="E51" s="9">
        <v>113.07</v>
      </c>
      <c r="F51" s="6">
        <f t="shared" si="0"/>
        <v>1237834.77</v>
      </c>
      <c r="G51" s="6">
        <v>103777.42</v>
      </c>
      <c r="H51" s="6">
        <v>281.58999999999997</v>
      </c>
      <c r="I51" s="9">
        <v>1100854.19</v>
      </c>
      <c r="J51" s="8">
        <f t="shared" si="1"/>
        <v>1204913.2</v>
      </c>
      <c r="K51" s="43"/>
    </row>
    <row r="52" spans="2:11" ht="14.45" x14ac:dyDescent="0.3">
      <c r="B52" s="5">
        <v>43646</v>
      </c>
      <c r="C52" s="9">
        <v>1221207.92</v>
      </c>
      <c r="D52" s="9">
        <v>16.5</v>
      </c>
      <c r="E52" s="9">
        <v>0</v>
      </c>
      <c r="F52" s="6">
        <f t="shared" si="0"/>
        <v>1221224.42</v>
      </c>
      <c r="G52" s="6">
        <v>87353.98</v>
      </c>
      <c r="H52" s="6">
        <v>0</v>
      </c>
      <c r="I52" s="9">
        <v>1441263.03</v>
      </c>
      <c r="J52" s="8">
        <f t="shared" si="1"/>
        <v>1528617.01</v>
      </c>
      <c r="K52" s="43"/>
    </row>
    <row r="53" spans="2:11" ht="14.45" x14ac:dyDescent="0.3">
      <c r="B53" s="5">
        <v>43677</v>
      </c>
      <c r="C53" s="9">
        <v>1236177.6299999999</v>
      </c>
      <c r="D53" s="9">
        <v>54.12</v>
      </c>
      <c r="E53" s="9">
        <v>0</v>
      </c>
      <c r="F53" s="6">
        <f t="shared" si="0"/>
        <v>1236231.75</v>
      </c>
      <c r="G53" s="6">
        <v>110912.47</v>
      </c>
      <c r="H53" s="6">
        <v>0</v>
      </c>
      <c r="I53" s="9">
        <v>1407287.74</v>
      </c>
      <c r="J53" s="8">
        <f t="shared" si="1"/>
        <v>1518200.21</v>
      </c>
      <c r="K53" s="43"/>
    </row>
    <row r="54" spans="2:11" ht="14.45" x14ac:dyDescent="0.3">
      <c r="B54" s="5">
        <v>43708</v>
      </c>
      <c r="C54" s="9">
        <v>1253265.23</v>
      </c>
      <c r="D54" s="9">
        <v>87.9</v>
      </c>
      <c r="E54" s="9">
        <v>36.22</v>
      </c>
      <c r="F54" s="6">
        <f t="shared" ref="F54:F66" si="2">C54+D54-E54</f>
        <v>1253316.9099999999</v>
      </c>
      <c r="G54" s="6">
        <v>116842.11</v>
      </c>
      <c r="H54" s="6">
        <v>2.19</v>
      </c>
      <c r="I54" s="9">
        <v>1315019.17</v>
      </c>
      <c r="J54" s="8">
        <f t="shared" si="1"/>
        <v>1431863.47</v>
      </c>
      <c r="K54" s="43"/>
    </row>
    <row r="55" spans="2:11" ht="14.45" x14ac:dyDescent="0.3">
      <c r="B55" s="5">
        <v>43738</v>
      </c>
      <c r="C55" s="9">
        <v>1299299.3500000001</v>
      </c>
      <c r="D55" s="9">
        <v>359.4</v>
      </c>
      <c r="E55" s="9">
        <v>0.35</v>
      </c>
      <c r="F55" s="6">
        <f t="shared" si="2"/>
        <v>1299658.3999999999</v>
      </c>
      <c r="G55" s="6">
        <v>122741.71</v>
      </c>
      <c r="H55" s="6">
        <v>0</v>
      </c>
      <c r="I55" s="9">
        <v>1257943.8</v>
      </c>
      <c r="J55" s="8">
        <f t="shared" si="1"/>
        <v>1380685.51</v>
      </c>
      <c r="K55" s="43"/>
    </row>
    <row r="56" spans="2:11" ht="14.45" x14ac:dyDescent="0.3">
      <c r="B56" s="5">
        <v>43769</v>
      </c>
      <c r="C56" s="9">
        <v>1284704.51</v>
      </c>
      <c r="D56" s="9">
        <v>1694.33</v>
      </c>
      <c r="E56" s="9">
        <v>133.16999999999999</v>
      </c>
      <c r="F56" s="6">
        <f t="shared" si="2"/>
        <v>1286265.6700000002</v>
      </c>
      <c r="G56" s="6">
        <v>114194.77</v>
      </c>
      <c r="H56" s="6">
        <v>259.92</v>
      </c>
      <c r="I56" s="9">
        <v>1391319.76</v>
      </c>
      <c r="J56" s="8">
        <f t="shared" si="1"/>
        <v>1505774.45</v>
      </c>
      <c r="K56" s="43"/>
    </row>
    <row r="57" spans="2:11" ht="14.45" x14ac:dyDescent="0.3">
      <c r="B57" s="5">
        <v>43799</v>
      </c>
      <c r="C57" s="9">
        <v>1377144.74</v>
      </c>
      <c r="D57" s="9">
        <v>742.32</v>
      </c>
      <c r="E57" s="9">
        <v>284.72000000000003</v>
      </c>
      <c r="F57" s="6">
        <f t="shared" si="2"/>
        <v>1377602.34</v>
      </c>
      <c r="G57" s="6">
        <v>123943.14</v>
      </c>
      <c r="H57" s="6">
        <v>276.29000000000002</v>
      </c>
      <c r="I57" s="9">
        <v>1249213.6599999999</v>
      </c>
      <c r="J57" s="8">
        <f t="shared" si="1"/>
        <v>1373433.0899999999</v>
      </c>
      <c r="K57" s="43"/>
    </row>
    <row r="58" spans="2:11" ht="14.45" x14ac:dyDescent="0.3">
      <c r="B58" s="5">
        <v>43830</v>
      </c>
      <c r="C58" s="9">
        <v>1270622.56</v>
      </c>
      <c r="D58" s="9">
        <v>1338.19</v>
      </c>
      <c r="E58" s="9">
        <v>223.68</v>
      </c>
      <c r="F58" s="6">
        <f t="shared" si="2"/>
        <v>1271737.07</v>
      </c>
      <c r="G58" s="6">
        <v>127330.31</v>
      </c>
      <c r="H58" s="6">
        <v>486.48</v>
      </c>
      <c r="I58" s="9">
        <v>859058.19</v>
      </c>
      <c r="J58" s="8">
        <f t="shared" si="1"/>
        <v>986874.98</v>
      </c>
      <c r="K58" s="43"/>
    </row>
    <row r="59" spans="2:11" ht="14.45" x14ac:dyDescent="0.3">
      <c r="B59" s="5">
        <v>43861</v>
      </c>
      <c r="C59" s="9">
        <v>1321358.9084094237</v>
      </c>
      <c r="D59" s="9">
        <v>216.19</v>
      </c>
      <c r="E59" s="9">
        <v>106.44</v>
      </c>
      <c r="F59" s="6">
        <f t="shared" si="2"/>
        <v>1321468.6584094237</v>
      </c>
      <c r="G59" s="6">
        <v>73085.39</v>
      </c>
      <c r="H59" s="6">
        <v>2.7</v>
      </c>
      <c r="I59" s="9">
        <v>1154731.25</v>
      </c>
      <c r="J59" s="8">
        <f t="shared" si="1"/>
        <v>1227819.3400000001</v>
      </c>
      <c r="K59" s="43"/>
    </row>
    <row r="60" spans="2:11" ht="14.45" x14ac:dyDescent="0.3">
      <c r="B60" s="5">
        <v>43890</v>
      </c>
      <c r="C60" s="9">
        <v>1248944.3555759513</v>
      </c>
      <c r="D60" s="9">
        <v>392.2</v>
      </c>
      <c r="E60" s="9">
        <v>1.57</v>
      </c>
      <c r="F60" s="6">
        <f t="shared" si="2"/>
        <v>1249334.9855759512</v>
      </c>
      <c r="G60" s="6">
        <v>102496.86</v>
      </c>
      <c r="H60" s="6">
        <v>49.35</v>
      </c>
      <c r="I60" s="9">
        <v>1315023.76</v>
      </c>
      <c r="J60" s="8">
        <f t="shared" si="1"/>
        <v>1417569.97</v>
      </c>
      <c r="K60" s="43"/>
    </row>
    <row r="61" spans="2:11" ht="14.45" x14ac:dyDescent="0.3">
      <c r="B61" s="5">
        <v>43921</v>
      </c>
      <c r="C61" s="9">
        <v>1257354.8600000001</v>
      </c>
      <c r="D61" s="9">
        <v>901.47</v>
      </c>
      <c r="E61" s="9">
        <v>113.64</v>
      </c>
      <c r="F61" s="6">
        <f t="shared" si="2"/>
        <v>1258142.6900000002</v>
      </c>
      <c r="G61" s="6">
        <v>108114.77</v>
      </c>
      <c r="H61" s="6">
        <v>43</v>
      </c>
      <c r="I61" s="9">
        <v>1127911.29</v>
      </c>
      <c r="J61" s="8">
        <f t="shared" si="1"/>
        <v>1236069.06</v>
      </c>
      <c r="K61" s="43"/>
    </row>
    <row r="62" spans="2:11" ht="14.45" x14ac:dyDescent="0.3">
      <c r="B62" s="5">
        <v>43951</v>
      </c>
      <c r="C62" s="9">
        <v>0</v>
      </c>
      <c r="D62" s="9">
        <v>51.47</v>
      </c>
      <c r="E62" s="9">
        <v>79.28</v>
      </c>
      <c r="F62" s="6">
        <f t="shared" si="2"/>
        <v>-27.810000000000002</v>
      </c>
      <c r="G62" s="6">
        <v>93730</v>
      </c>
      <c r="H62" s="6">
        <v>43</v>
      </c>
      <c r="I62" s="9">
        <v>1179433.01</v>
      </c>
      <c r="J62" s="8">
        <f t="shared" si="1"/>
        <v>1273206.01</v>
      </c>
      <c r="K62" s="43"/>
    </row>
    <row r="63" spans="2:11" ht="14.45" x14ac:dyDescent="0.3">
      <c r="B63" s="5">
        <v>43982</v>
      </c>
      <c r="C63" s="9">
        <v>0</v>
      </c>
      <c r="D63" s="9">
        <v>279.94</v>
      </c>
      <c r="E63" s="9">
        <v>106.68</v>
      </c>
      <c r="F63" s="6">
        <f t="shared" si="2"/>
        <v>173.26</v>
      </c>
      <c r="G63" s="6">
        <v>101477.65</v>
      </c>
      <c r="H63" s="6">
        <v>43</v>
      </c>
      <c r="I63" s="9">
        <v>532828.85</v>
      </c>
      <c r="J63" s="8">
        <f t="shared" si="1"/>
        <v>634349.5</v>
      </c>
      <c r="K63" s="43"/>
    </row>
    <row r="64" spans="2:11" ht="14.45" x14ac:dyDescent="0.3">
      <c r="B64" s="5">
        <v>44012</v>
      </c>
      <c r="C64" s="9">
        <v>0</v>
      </c>
      <c r="D64" s="9">
        <v>0</v>
      </c>
      <c r="E64" s="9">
        <v>0</v>
      </c>
      <c r="F64" s="6">
        <f t="shared" si="2"/>
        <v>0</v>
      </c>
      <c r="G64" s="6">
        <v>39833.39</v>
      </c>
      <c r="H64" s="6">
        <v>0</v>
      </c>
      <c r="I64" s="9">
        <v>0</v>
      </c>
      <c r="J64" s="8">
        <f t="shared" si="1"/>
        <v>39833.39</v>
      </c>
      <c r="K64" s="43"/>
    </row>
    <row r="65" spans="2:11" ht="14.45" x14ac:dyDescent="0.3">
      <c r="B65" s="5">
        <v>44043</v>
      </c>
      <c r="C65" s="9">
        <v>0</v>
      </c>
      <c r="D65" s="9">
        <v>0</v>
      </c>
      <c r="E65" s="9">
        <v>0</v>
      </c>
      <c r="F65" s="6">
        <f t="shared" si="2"/>
        <v>0</v>
      </c>
      <c r="G65" s="6">
        <v>0</v>
      </c>
      <c r="H65" s="6">
        <v>0</v>
      </c>
      <c r="I65" s="9">
        <v>0</v>
      </c>
      <c r="J65" s="8">
        <f t="shared" si="1"/>
        <v>0</v>
      </c>
      <c r="K65" s="43"/>
    </row>
    <row r="66" spans="2:11" ht="14.45" x14ac:dyDescent="0.3">
      <c r="B66" s="5">
        <v>44074</v>
      </c>
      <c r="C66" s="9">
        <v>0</v>
      </c>
      <c r="D66" s="9">
        <v>0</v>
      </c>
      <c r="E66" s="9">
        <v>0</v>
      </c>
      <c r="F66" s="6">
        <f t="shared" si="2"/>
        <v>0</v>
      </c>
      <c r="G66" s="6">
        <v>0</v>
      </c>
      <c r="H66" s="6">
        <v>0</v>
      </c>
      <c r="I66" s="9">
        <v>0</v>
      </c>
      <c r="J66" s="8">
        <f t="shared" si="1"/>
        <v>0</v>
      </c>
      <c r="K66" s="43"/>
    </row>
    <row r="67" spans="2:11" ht="14.45" x14ac:dyDescent="0.3">
      <c r="B67" s="5">
        <v>44104</v>
      </c>
      <c r="C67" s="9">
        <v>0</v>
      </c>
      <c r="D67" s="9">
        <v>0</v>
      </c>
      <c r="E67" s="9">
        <v>0</v>
      </c>
      <c r="F67" s="6">
        <f t="shared" ref="F67" si="3">C67+D67-E67</f>
        <v>0</v>
      </c>
      <c r="G67" s="6">
        <v>0</v>
      </c>
      <c r="H67" s="6">
        <v>0</v>
      </c>
      <c r="I67" s="9">
        <v>0</v>
      </c>
      <c r="J67" s="8">
        <f t="shared" ref="J67" si="4">G67+H67+I67</f>
        <v>0</v>
      </c>
      <c r="K67" s="43"/>
    </row>
    <row r="68" spans="2:11" ht="14.45" x14ac:dyDescent="0.3">
      <c r="B68" s="5">
        <v>44135</v>
      </c>
      <c r="C68" s="9">
        <v>0</v>
      </c>
      <c r="D68" s="9">
        <v>0</v>
      </c>
      <c r="E68" s="9">
        <v>0</v>
      </c>
      <c r="F68" s="6">
        <f t="shared" ref="F68:F69" si="5">C68+D68-E68</f>
        <v>0</v>
      </c>
      <c r="G68" s="6">
        <v>0</v>
      </c>
      <c r="H68" s="6">
        <v>0</v>
      </c>
      <c r="I68" s="9">
        <v>0</v>
      </c>
      <c r="J68" s="8">
        <f t="shared" ref="J68:J69" si="6">G68+H68+I68</f>
        <v>0</v>
      </c>
      <c r="K68" s="43"/>
    </row>
    <row r="69" spans="2:11" ht="14.45" x14ac:dyDescent="0.3">
      <c r="B69" s="5">
        <v>44165</v>
      </c>
      <c r="C69" s="9">
        <v>0</v>
      </c>
      <c r="D69" s="9">
        <v>0</v>
      </c>
      <c r="E69" s="9">
        <v>0</v>
      </c>
      <c r="F69" s="6">
        <f t="shared" si="5"/>
        <v>0</v>
      </c>
      <c r="G69" s="6">
        <v>0</v>
      </c>
      <c r="H69" s="6">
        <v>0</v>
      </c>
      <c r="I69" s="9">
        <v>0</v>
      </c>
      <c r="J69" s="8">
        <f t="shared" si="6"/>
        <v>0</v>
      </c>
      <c r="K69" s="43"/>
    </row>
    <row r="70" spans="2:11" ht="14.45" x14ac:dyDescent="0.3">
      <c r="B70" s="5">
        <v>44196</v>
      </c>
      <c r="C70" s="9">
        <v>0</v>
      </c>
      <c r="D70" s="9">
        <v>0</v>
      </c>
      <c r="E70" s="9">
        <v>0</v>
      </c>
      <c r="F70" s="6">
        <f t="shared" ref="F70:F72" si="7">C70+D70-E70</f>
        <v>0</v>
      </c>
      <c r="G70" s="6">
        <v>0</v>
      </c>
      <c r="H70" s="6">
        <v>0</v>
      </c>
      <c r="I70" s="9">
        <v>0</v>
      </c>
      <c r="J70" s="8">
        <f t="shared" ref="J70:J72" si="8">G70+H70+I70</f>
        <v>0</v>
      </c>
      <c r="K70" s="43"/>
    </row>
    <row r="71" spans="2:11" ht="14.45" x14ac:dyDescent="0.3">
      <c r="B71" s="5">
        <v>44227</v>
      </c>
      <c r="C71" s="9">
        <v>0</v>
      </c>
      <c r="D71" s="9">
        <v>0</v>
      </c>
      <c r="E71" s="9">
        <v>0</v>
      </c>
      <c r="F71" s="6">
        <f t="shared" si="7"/>
        <v>0</v>
      </c>
      <c r="G71" s="6">
        <v>0</v>
      </c>
      <c r="H71" s="6">
        <v>0</v>
      </c>
      <c r="I71" s="9">
        <v>0</v>
      </c>
      <c r="J71" s="8">
        <f t="shared" si="8"/>
        <v>0</v>
      </c>
      <c r="K71" s="43"/>
    </row>
    <row r="72" spans="2:11" ht="14.45" x14ac:dyDescent="0.3">
      <c r="B72" s="5">
        <v>44255</v>
      </c>
      <c r="C72" s="9">
        <v>0</v>
      </c>
      <c r="D72" s="9">
        <v>0</v>
      </c>
      <c r="E72" s="9">
        <v>0</v>
      </c>
      <c r="F72" s="6">
        <f t="shared" si="7"/>
        <v>0</v>
      </c>
      <c r="G72" s="6">
        <v>0</v>
      </c>
      <c r="H72" s="6">
        <v>0</v>
      </c>
      <c r="I72" s="9">
        <v>0</v>
      </c>
      <c r="J72" s="8">
        <f t="shared" si="8"/>
        <v>0</v>
      </c>
      <c r="K72" s="43"/>
    </row>
    <row r="73" spans="2:11" ht="14.45" x14ac:dyDescent="0.3">
      <c r="B73" s="5">
        <v>44286</v>
      </c>
      <c r="C73" s="9">
        <v>0</v>
      </c>
      <c r="D73" s="9">
        <v>0</v>
      </c>
      <c r="E73" s="9">
        <v>0</v>
      </c>
      <c r="F73" s="6">
        <f t="shared" ref="F73:F74" si="9">C73+D73-E73</f>
        <v>0</v>
      </c>
      <c r="G73" s="6">
        <v>0</v>
      </c>
      <c r="H73" s="6">
        <v>0</v>
      </c>
      <c r="I73" s="9">
        <v>0</v>
      </c>
      <c r="J73" s="8">
        <f t="shared" ref="J73:J74" si="10">G73+H73+I73</f>
        <v>0</v>
      </c>
      <c r="K73" s="43"/>
    </row>
    <row r="74" spans="2:11" ht="14.45" x14ac:dyDescent="0.3">
      <c r="B74" s="5">
        <v>44316</v>
      </c>
      <c r="C74" s="9">
        <v>0</v>
      </c>
      <c r="D74" s="9">
        <v>0</v>
      </c>
      <c r="E74" s="9">
        <v>0</v>
      </c>
      <c r="F74" s="6">
        <f t="shared" si="9"/>
        <v>0</v>
      </c>
      <c r="G74" s="6">
        <v>0</v>
      </c>
      <c r="H74" s="6">
        <v>0</v>
      </c>
      <c r="I74" s="9">
        <v>0</v>
      </c>
      <c r="J74" s="8">
        <f t="shared" si="10"/>
        <v>0</v>
      </c>
      <c r="K74" s="43"/>
    </row>
    <row r="75" spans="2:11" ht="14.45" x14ac:dyDescent="0.3">
      <c r="B75" s="5"/>
      <c r="C75" s="9"/>
      <c r="D75" s="9"/>
      <c r="E75" s="9"/>
      <c r="F75" s="6"/>
      <c r="G75" s="6"/>
      <c r="H75" s="6"/>
      <c r="I75" s="9"/>
      <c r="J75" s="8"/>
      <c r="K75" s="43"/>
    </row>
    <row r="76" spans="2:11" s="3" customFormat="1" ht="14.45" x14ac:dyDescent="0.3">
      <c r="B76" s="13" t="s">
        <v>35</v>
      </c>
      <c r="C76" s="14">
        <f t="shared" ref="C76:J76" si="11">SUM(C14:C75)</f>
        <v>54989483.123985365</v>
      </c>
      <c r="D76" s="14">
        <f t="shared" si="11"/>
        <v>59381.67</v>
      </c>
      <c r="E76" s="14">
        <f t="shared" si="11"/>
        <v>11758.500000000002</v>
      </c>
      <c r="F76" s="14">
        <f t="shared" si="11"/>
        <v>55037106.293985382</v>
      </c>
      <c r="G76" s="14">
        <f t="shared" si="11"/>
        <v>4232443</v>
      </c>
      <c r="H76" s="14">
        <f t="shared" si="11"/>
        <v>6573.7300000000005</v>
      </c>
      <c r="I76" s="14">
        <f t="shared" si="11"/>
        <v>53338746.370000005</v>
      </c>
      <c r="J76" s="14">
        <f t="shared" si="11"/>
        <v>57577763.099999994</v>
      </c>
      <c r="K76" s="40"/>
    </row>
    <row r="77" spans="2:11" ht="10.15" x14ac:dyDescent="0.2">
      <c r="D77" s="38"/>
      <c r="I77" s="38"/>
      <c r="K77" s="38"/>
    </row>
    <row r="78" spans="2:11" ht="10.15" x14ac:dyDescent="0.2">
      <c r="B78" s="25" t="s">
        <v>23</v>
      </c>
      <c r="I78" s="38"/>
    </row>
    <row r="79" spans="2:11" x14ac:dyDescent="0.2">
      <c r="B79" s="26" t="s">
        <v>58</v>
      </c>
      <c r="J79" s="38"/>
    </row>
    <row r="80" spans="2:11" x14ac:dyDescent="0.2">
      <c r="B80" s="26" t="s">
        <v>57</v>
      </c>
      <c r="J80" s="38"/>
    </row>
    <row r="81" spans="2:10" x14ac:dyDescent="0.2">
      <c r="B81" s="26" t="s">
        <v>59</v>
      </c>
      <c r="J81" s="38"/>
    </row>
    <row r="83" spans="2:10" ht="10.15" x14ac:dyDescent="0.2">
      <c r="I83" s="38"/>
    </row>
  </sheetData>
  <mergeCells count="8">
    <mergeCell ref="J12:J13"/>
    <mergeCell ref="H12:H13"/>
    <mergeCell ref="B2:I3"/>
    <mergeCell ref="B12:B13"/>
    <mergeCell ref="I12:I13"/>
    <mergeCell ref="C12:F12"/>
    <mergeCell ref="B11:I11"/>
    <mergeCell ref="G12:G13"/>
  </mergeCell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88"/>
  <sheetViews>
    <sheetView showGridLines="0" topLeftCell="A61" zoomScaleNormal="100" workbookViewId="0">
      <selection activeCell="C75" sqref="C75"/>
    </sheetView>
  </sheetViews>
  <sheetFormatPr defaultColWidth="8.6640625" defaultRowHeight="11.25" x14ac:dyDescent="0.2"/>
  <cols>
    <col min="1" max="1" width="2.6640625" customWidth="1"/>
    <col min="2" max="7" width="17.6640625" customWidth="1"/>
    <col min="8" max="8" width="34.6640625" customWidth="1"/>
    <col min="9" max="10" width="17.6640625" customWidth="1"/>
  </cols>
  <sheetData>
    <row r="1" spans="2:12" ht="11.25" customHeight="1" x14ac:dyDescent="0.2"/>
    <row r="2" spans="2:12" ht="15" customHeight="1" x14ac:dyDescent="0.2">
      <c r="B2" s="71" t="s">
        <v>18</v>
      </c>
      <c r="C2" s="71"/>
      <c r="D2" s="71"/>
      <c r="E2" s="71"/>
      <c r="F2" s="71"/>
      <c r="G2" s="71"/>
      <c r="H2" s="71"/>
    </row>
    <row r="3" spans="2:12" ht="15" customHeight="1" x14ac:dyDescent="0.2">
      <c r="B3" s="71"/>
      <c r="C3" s="71"/>
      <c r="D3" s="71"/>
      <c r="E3" s="71"/>
      <c r="F3" s="71"/>
      <c r="G3" s="71"/>
      <c r="H3" s="71"/>
    </row>
    <row r="4" spans="2:12" ht="11.25" customHeight="1" x14ac:dyDescent="0.2"/>
    <row r="5" spans="2:12" s="15" customFormat="1" ht="19.899999999999999" customHeight="1" x14ac:dyDescent="0.25">
      <c r="B5" s="21" t="s">
        <v>39</v>
      </c>
      <c r="C5" s="21"/>
      <c r="D5" s="21"/>
      <c r="E5" s="21"/>
      <c r="F5" s="21"/>
      <c r="G5" s="22" t="s">
        <v>3</v>
      </c>
      <c r="H5" s="22"/>
      <c r="I5" s="22"/>
      <c r="J5" s="22"/>
      <c r="K5" s="22"/>
      <c r="L5" s="22"/>
    </row>
    <row r="6" spans="2:12" s="15" customFormat="1" ht="6" customHeight="1" x14ac:dyDescent="0.3">
      <c r="B6" s="16"/>
      <c r="C6" s="16"/>
      <c r="D6" s="16"/>
      <c r="E6" s="16"/>
      <c r="F6" s="16"/>
      <c r="G6" s="17"/>
      <c r="H6" s="17"/>
      <c r="I6" s="17"/>
      <c r="J6" s="17"/>
      <c r="K6" s="17"/>
      <c r="L6" s="17"/>
    </row>
    <row r="7" spans="2:12" s="15" customFormat="1" ht="19.899999999999999" customHeight="1" x14ac:dyDescent="0.25">
      <c r="B7" s="21" t="s">
        <v>40</v>
      </c>
      <c r="C7" s="21"/>
      <c r="D7" s="21"/>
      <c r="E7" s="21"/>
      <c r="F7" s="21"/>
      <c r="G7" s="22" t="s">
        <v>43</v>
      </c>
      <c r="H7" s="22"/>
      <c r="I7" s="22"/>
      <c r="J7" s="22"/>
      <c r="K7" s="22"/>
      <c r="L7" s="22"/>
    </row>
    <row r="8" spans="2:12" ht="6" customHeight="1" x14ac:dyDescent="0.2">
      <c r="B8" s="23"/>
      <c r="C8" s="23"/>
      <c r="D8" s="23"/>
      <c r="E8" s="23"/>
      <c r="F8" s="23"/>
      <c r="G8" s="18"/>
      <c r="H8" s="18"/>
      <c r="I8" s="18"/>
      <c r="J8" s="18"/>
      <c r="K8" s="18"/>
      <c r="L8" s="18"/>
    </row>
    <row r="9" spans="2:12" ht="15.75" x14ac:dyDescent="0.25">
      <c r="B9" s="24" t="s">
        <v>50</v>
      </c>
      <c r="C9" s="24"/>
      <c r="D9" s="24"/>
      <c r="E9" s="24"/>
      <c r="F9" s="24"/>
      <c r="G9" s="24"/>
      <c r="H9" s="24"/>
    </row>
    <row r="10" spans="2:12" ht="10.15" customHeight="1" x14ac:dyDescent="0.3">
      <c r="B10" s="19"/>
      <c r="C10" s="19"/>
      <c r="D10" s="19"/>
      <c r="E10" s="19"/>
      <c r="F10" s="19"/>
      <c r="G10" s="19"/>
      <c r="H10" s="19"/>
    </row>
    <row r="11" spans="2:12" ht="75" customHeight="1" x14ac:dyDescent="0.3">
      <c r="B11" s="70"/>
      <c r="C11" s="70"/>
      <c r="D11" s="70"/>
      <c r="E11" s="70"/>
      <c r="F11" s="70"/>
      <c r="G11" s="70"/>
      <c r="H11" s="70"/>
      <c r="I11" s="30"/>
      <c r="J11" s="30"/>
      <c r="K11" s="20"/>
      <c r="L11" s="20"/>
    </row>
    <row r="12" spans="2:12" ht="23.25" customHeight="1" x14ac:dyDescent="0.2">
      <c r="B12" s="80" t="s">
        <v>3</v>
      </c>
      <c r="C12" s="73" t="s">
        <v>6</v>
      </c>
      <c r="D12" s="73"/>
      <c r="E12" s="73"/>
      <c r="F12" s="73"/>
      <c r="G12" s="73"/>
      <c r="H12" s="29" t="s">
        <v>15</v>
      </c>
    </row>
    <row r="13" spans="2:12" ht="30" x14ac:dyDescent="0.2">
      <c r="B13" s="81"/>
      <c r="C13" s="4" t="s">
        <v>33</v>
      </c>
      <c r="D13" s="4" t="s">
        <v>34</v>
      </c>
      <c r="E13" s="28" t="s">
        <v>48</v>
      </c>
      <c r="F13" s="50" t="s">
        <v>68</v>
      </c>
      <c r="G13" s="4" t="s">
        <v>35</v>
      </c>
      <c r="H13" s="12" t="s">
        <v>56</v>
      </c>
    </row>
    <row r="14" spans="2:12" ht="14.45" x14ac:dyDescent="0.3">
      <c r="B14" s="5">
        <v>42490</v>
      </c>
      <c r="C14" s="6">
        <v>167470.60999999999</v>
      </c>
      <c r="D14" s="9">
        <v>0</v>
      </c>
      <c r="E14" s="9">
        <v>0</v>
      </c>
      <c r="F14" s="9">
        <v>0</v>
      </c>
      <c r="G14" s="6">
        <f>C14+D14-E14-F14</f>
        <v>167470.60999999999</v>
      </c>
      <c r="H14" s="8">
        <v>0</v>
      </c>
    </row>
    <row r="15" spans="2:12" ht="14.45" x14ac:dyDescent="0.3">
      <c r="B15" s="5">
        <v>42521</v>
      </c>
      <c r="C15" s="6">
        <v>168046.09</v>
      </c>
      <c r="D15" s="9">
        <v>0</v>
      </c>
      <c r="E15" s="9">
        <v>0</v>
      </c>
      <c r="F15" s="9">
        <v>0</v>
      </c>
      <c r="G15" s="6">
        <f t="shared" ref="G15:G63" si="0">C15+D15-E15-F15</f>
        <v>168046.09</v>
      </c>
      <c r="H15" s="8">
        <v>0</v>
      </c>
    </row>
    <row r="16" spans="2:12" ht="14.45" x14ac:dyDescent="0.3">
      <c r="B16" s="5">
        <v>42551</v>
      </c>
      <c r="C16" s="6">
        <v>157459.19</v>
      </c>
      <c r="D16" s="6">
        <f>1728.64</f>
        <v>1728.64</v>
      </c>
      <c r="E16" s="6">
        <v>0.02</v>
      </c>
      <c r="F16" s="9">
        <v>0.19</v>
      </c>
      <c r="G16" s="6">
        <f t="shared" si="0"/>
        <v>159187.62000000002</v>
      </c>
      <c r="H16" s="8">
        <v>0</v>
      </c>
    </row>
    <row r="17" spans="2:8" ht="14.45" x14ac:dyDescent="0.3">
      <c r="B17" s="5">
        <v>42582</v>
      </c>
      <c r="C17" s="6">
        <v>154702.35</v>
      </c>
      <c r="D17" s="6">
        <v>3333.6</v>
      </c>
      <c r="E17" s="9">
        <v>0</v>
      </c>
      <c r="F17" s="9">
        <v>0</v>
      </c>
      <c r="G17" s="6">
        <f t="shared" si="0"/>
        <v>158035.95000000001</v>
      </c>
      <c r="H17" s="8">
        <v>0</v>
      </c>
    </row>
    <row r="18" spans="2:8" ht="14.45" x14ac:dyDescent="0.3">
      <c r="B18" s="5">
        <v>42613</v>
      </c>
      <c r="C18" s="6">
        <v>156855.04000000001</v>
      </c>
      <c r="D18" s="6">
        <v>5327.59</v>
      </c>
      <c r="E18" s="9">
        <v>0</v>
      </c>
      <c r="F18" s="9">
        <v>0</v>
      </c>
      <c r="G18" s="6">
        <f t="shared" si="0"/>
        <v>162182.63</v>
      </c>
      <c r="H18" s="8">
        <v>0</v>
      </c>
    </row>
    <row r="19" spans="2:8" ht="14.45" x14ac:dyDescent="0.3">
      <c r="B19" s="5">
        <v>42643</v>
      </c>
      <c r="C19" s="6">
        <v>162603.93</v>
      </c>
      <c r="D19" s="6">
        <v>6410.14</v>
      </c>
      <c r="E19" s="9">
        <v>0</v>
      </c>
      <c r="F19" s="9">
        <v>0</v>
      </c>
      <c r="G19" s="6">
        <f t="shared" si="0"/>
        <v>169014.07</v>
      </c>
      <c r="H19" s="8">
        <v>0</v>
      </c>
    </row>
    <row r="20" spans="2:8" ht="14.45" x14ac:dyDescent="0.3">
      <c r="B20" s="5">
        <v>42674</v>
      </c>
      <c r="C20" s="8">
        <v>158550.07</v>
      </c>
      <c r="D20" s="8">
        <v>7623.05</v>
      </c>
      <c r="E20" s="9">
        <v>0</v>
      </c>
      <c r="F20" s="9">
        <v>0</v>
      </c>
      <c r="G20" s="6">
        <f t="shared" si="0"/>
        <v>166173.12</v>
      </c>
      <c r="H20" s="8">
        <v>0</v>
      </c>
    </row>
    <row r="21" spans="2:8" ht="14.45" x14ac:dyDescent="0.3">
      <c r="B21" s="5">
        <v>42704</v>
      </c>
      <c r="C21" s="9">
        <v>159104.29999999999</v>
      </c>
      <c r="D21" s="9">
        <f>9210.54</f>
        <v>9210.5400000000009</v>
      </c>
      <c r="E21" s="9">
        <v>5044.97</v>
      </c>
      <c r="F21" s="9">
        <v>0</v>
      </c>
      <c r="G21" s="6">
        <f t="shared" si="0"/>
        <v>163269.87</v>
      </c>
      <c r="H21" s="8">
        <v>0</v>
      </c>
    </row>
    <row r="22" spans="2:8" ht="14.45" x14ac:dyDescent="0.3">
      <c r="B22" s="5">
        <v>42735</v>
      </c>
      <c r="C22" s="9">
        <v>162258.43</v>
      </c>
      <c r="D22" s="9">
        <v>11547.71</v>
      </c>
      <c r="E22" s="9">
        <v>0</v>
      </c>
      <c r="F22" s="9">
        <v>0</v>
      </c>
      <c r="G22" s="6">
        <f t="shared" si="0"/>
        <v>173806.13999999998</v>
      </c>
      <c r="H22" s="8">
        <v>0</v>
      </c>
    </row>
    <row r="23" spans="2:8" ht="14.45" x14ac:dyDescent="0.3">
      <c r="B23" s="5">
        <v>42766</v>
      </c>
      <c r="C23" s="9">
        <v>177065.3</v>
      </c>
      <c r="D23" s="9">
        <v>12683.89</v>
      </c>
      <c r="E23" s="9">
        <v>0</v>
      </c>
      <c r="F23" s="9">
        <v>0</v>
      </c>
      <c r="G23" s="6">
        <f t="shared" si="0"/>
        <v>189749.19</v>
      </c>
      <c r="H23" s="8">
        <v>0</v>
      </c>
    </row>
    <row r="24" spans="2:8" ht="14.45" x14ac:dyDescent="0.3">
      <c r="B24" s="5">
        <v>42794</v>
      </c>
      <c r="C24" s="9">
        <v>166063.72</v>
      </c>
      <c r="D24" s="9">
        <v>11630.04</v>
      </c>
      <c r="E24" s="9">
        <v>0</v>
      </c>
      <c r="F24" s="9">
        <v>0</v>
      </c>
      <c r="G24" s="6">
        <f t="shared" si="0"/>
        <v>177693.76</v>
      </c>
      <c r="H24" s="8">
        <v>0</v>
      </c>
    </row>
    <row r="25" spans="2:8" ht="14.45" x14ac:dyDescent="0.3">
      <c r="B25" s="5">
        <v>42825</v>
      </c>
      <c r="C25" s="9">
        <v>169678.07</v>
      </c>
      <c r="D25" s="9">
        <v>15644.34</v>
      </c>
      <c r="E25" s="9">
        <v>0</v>
      </c>
      <c r="F25" s="9">
        <v>0</v>
      </c>
      <c r="G25" s="6">
        <f t="shared" si="0"/>
        <v>185322.41</v>
      </c>
      <c r="H25" s="8">
        <v>0</v>
      </c>
    </row>
    <row r="26" spans="2:8" ht="14.45" x14ac:dyDescent="0.3">
      <c r="B26" s="5">
        <v>42855</v>
      </c>
      <c r="C26" s="9">
        <v>173757.88</v>
      </c>
      <c r="D26" s="9">
        <v>12878.87</v>
      </c>
      <c r="E26" s="9">
        <v>0</v>
      </c>
      <c r="F26" s="9">
        <v>0</v>
      </c>
      <c r="G26" s="6">
        <f t="shared" si="0"/>
        <v>186636.75</v>
      </c>
      <c r="H26" s="8">
        <v>0</v>
      </c>
    </row>
    <row r="27" spans="2:8" ht="14.45" x14ac:dyDescent="0.3">
      <c r="B27" s="5">
        <v>42886</v>
      </c>
      <c r="C27" s="9">
        <v>162867.92000000001</v>
      </c>
      <c r="D27" s="9">
        <v>16654.400000000001</v>
      </c>
      <c r="E27" s="9">
        <v>12155.85</v>
      </c>
      <c r="F27" s="9">
        <v>0</v>
      </c>
      <c r="G27" s="6">
        <f t="shared" si="0"/>
        <v>167366.47</v>
      </c>
      <c r="H27" s="8">
        <v>0</v>
      </c>
    </row>
    <row r="28" spans="2:8" ht="14.45" x14ac:dyDescent="0.3">
      <c r="B28" s="5">
        <v>42916</v>
      </c>
      <c r="C28" s="9">
        <v>168159.63</v>
      </c>
      <c r="D28" s="9">
        <v>15976.4</v>
      </c>
      <c r="E28" s="9">
        <v>0</v>
      </c>
      <c r="F28" s="9">
        <v>0</v>
      </c>
      <c r="G28" s="6">
        <f t="shared" si="0"/>
        <v>184136.03</v>
      </c>
      <c r="H28" s="8">
        <v>0</v>
      </c>
    </row>
    <row r="29" spans="2:8" ht="14.45" x14ac:dyDescent="0.3">
      <c r="B29" s="5">
        <v>42947</v>
      </c>
      <c r="C29" s="9">
        <v>169495.12</v>
      </c>
      <c r="D29" s="9">
        <v>16357.96</v>
      </c>
      <c r="E29" s="9">
        <v>0</v>
      </c>
      <c r="F29" s="9">
        <v>0</v>
      </c>
      <c r="G29" s="6">
        <f t="shared" si="0"/>
        <v>185853.08</v>
      </c>
      <c r="H29" s="8">
        <v>0</v>
      </c>
    </row>
    <row r="30" spans="2:8" ht="14.45" x14ac:dyDescent="0.3">
      <c r="B30" s="5">
        <v>42978</v>
      </c>
      <c r="C30" s="9">
        <v>173202.81</v>
      </c>
      <c r="D30" s="9">
        <v>17238.439999999999</v>
      </c>
      <c r="E30" s="9">
        <v>0.19</v>
      </c>
      <c r="F30" s="9">
        <v>0</v>
      </c>
      <c r="G30" s="6">
        <f t="shared" si="0"/>
        <v>190441.06</v>
      </c>
      <c r="H30" s="8">
        <v>0</v>
      </c>
    </row>
    <row r="31" spans="2:8" ht="14.45" x14ac:dyDescent="0.3">
      <c r="B31" s="5">
        <v>43008</v>
      </c>
      <c r="C31" s="9">
        <v>179636.46</v>
      </c>
      <c r="D31" s="9">
        <v>14643.51</v>
      </c>
      <c r="E31" s="9">
        <v>0</v>
      </c>
      <c r="F31" s="9">
        <v>0</v>
      </c>
      <c r="G31" s="6">
        <f t="shared" si="0"/>
        <v>194279.97</v>
      </c>
      <c r="H31" s="9">
        <v>122289.98</v>
      </c>
    </row>
    <row r="32" spans="2:8" ht="14.45" x14ac:dyDescent="0.3">
      <c r="B32" s="5">
        <v>43039</v>
      </c>
      <c r="C32" s="9">
        <v>186367.99</v>
      </c>
      <c r="D32" s="9">
        <v>15409.18</v>
      </c>
      <c r="E32" s="9">
        <v>852.85</v>
      </c>
      <c r="F32" s="9">
        <v>0</v>
      </c>
      <c r="G32" s="6">
        <f t="shared" si="0"/>
        <v>200924.31999999998</v>
      </c>
      <c r="H32" s="9">
        <v>13800</v>
      </c>
    </row>
    <row r="33" spans="2:10" ht="14.45" x14ac:dyDescent="0.3">
      <c r="B33" s="5">
        <v>43069</v>
      </c>
      <c r="C33" s="9">
        <v>181934.91</v>
      </c>
      <c r="D33" s="9">
        <v>13650</v>
      </c>
      <c r="E33" s="9">
        <v>13542.26</v>
      </c>
      <c r="F33" s="9">
        <v>0</v>
      </c>
      <c r="G33" s="6">
        <f t="shared" si="0"/>
        <v>182042.65</v>
      </c>
      <c r="H33" s="9">
        <v>116727.86</v>
      </c>
    </row>
    <row r="34" spans="2:10" ht="14.45" x14ac:dyDescent="0.3">
      <c r="B34" s="5">
        <v>43100</v>
      </c>
      <c r="C34" s="9">
        <v>167998.47</v>
      </c>
      <c r="D34" s="9">
        <v>13351.87</v>
      </c>
      <c r="E34" s="9">
        <v>496.05</v>
      </c>
      <c r="F34" s="9">
        <v>0</v>
      </c>
      <c r="G34" s="6">
        <f t="shared" si="0"/>
        <v>180854.29</v>
      </c>
      <c r="H34" s="9">
        <v>86212.96</v>
      </c>
    </row>
    <row r="35" spans="2:10" ht="15" x14ac:dyDescent="0.25">
      <c r="B35" s="5">
        <v>43131</v>
      </c>
      <c r="C35" s="9">
        <v>171636.51</v>
      </c>
      <c r="D35" s="9">
        <v>13857.56</v>
      </c>
      <c r="E35" s="9">
        <v>166.65</v>
      </c>
      <c r="F35" s="9">
        <v>0</v>
      </c>
      <c r="G35" s="6">
        <f t="shared" si="0"/>
        <v>185327.42</v>
      </c>
      <c r="H35" s="9">
        <v>26579.37</v>
      </c>
    </row>
    <row r="36" spans="2:10" ht="15" x14ac:dyDescent="0.25">
      <c r="B36" s="5">
        <v>43159</v>
      </c>
      <c r="C36" s="9">
        <v>178551.84</v>
      </c>
      <c r="D36" s="9">
        <v>12031.32</v>
      </c>
      <c r="E36" s="9">
        <v>362.98</v>
      </c>
      <c r="F36" s="9">
        <v>0</v>
      </c>
      <c r="G36" s="6">
        <f t="shared" si="0"/>
        <v>190220.18</v>
      </c>
      <c r="H36" s="9">
        <v>32478.799999999999</v>
      </c>
      <c r="I36" s="38"/>
    </row>
    <row r="37" spans="2:10" ht="15" x14ac:dyDescent="0.25">
      <c r="B37" s="5">
        <v>43190</v>
      </c>
      <c r="C37" s="9">
        <v>171723.82</v>
      </c>
      <c r="D37" s="9">
        <v>13877.08</v>
      </c>
      <c r="E37" s="9">
        <v>188.49</v>
      </c>
      <c r="F37" s="9">
        <v>0</v>
      </c>
      <c r="G37" s="6">
        <f t="shared" si="0"/>
        <v>185412.41</v>
      </c>
      <c r="H37" s="9">
        <v>58782.93</v>
      </c>
    </row>
    <row r="38" spans="2:10" ht="15" x14ac:dyDescent="0.25">
      <c r="B38" s="5">
        <v>43220</v>
      </c>
      <c r="C38" s="9">
        <v>177871.8</v>
      </c>
      <c r="D38" s="9">
        <v>14362.41</v>
      </c>
      <c r="E38" s="9">
        <v>16882.919999999998</v>
      </c>
      <c r="F38" s="9">
        <v>0</v>
      </c>
      <c r="G38" s="6">
        <f t="shared" si="0"/>
        <v>175351.28999999998</v>
      </c>
      <c r="H38" s="9">
        <v>64018.3</v>
      </c>
      <c r="I38" s="44"/>
    </row>
    <row r="39" spans="2:10" ht="15" x14ac:dyDescent="0.25">
      <c r="B39" s="5">
        <v>43251</v>
      </c>
      <c r="C39" s="9">
        <v>166808.70000000001</v>
      </c>
      <c r="D39" s="9">
        <v>14338.82</v>
      </c>
      <c r="E39" s="9">
        <v>2154.09</v>
      </c>
      <c r="F39" s="9">
        <v>43.93</v>
      </c>
      <c r="G39" s="6">
        <f t="shared" si="0"/>
        <v>178949.50000000003</v>
      </c>
      <c r="H39" s="9">
        <v>154211.82</v>
      </c>
      <c r="I39" s="45"/>
      <c r="J39" s="46"/>
    </row>
    <row r="40" spans="2:10" ht="15" x14ac:dyDescent="0.25">
      <c r="B40" s="5">
        <v>43281</v>
      </c>
      <c r="C40" s="9">
        <v>172637.38</v>
      </c>
      <c r="D40" s="9">
        <v>15520.39</v>
      </c>
      <c r="E40" s="9">
        <v>109.26</v>
      </c>
      <c r="F40" s="9">
        <v>0</v>
      </c>
      <c r="G40" s="6">
        <f t="shared" si="0"/>
        <v>188048.51</v>
      </c>
      <c r="H40" s="9">
        <v>86462.58</v>
      </c>
      <c r="I40" s="43"/>
    </row>
    <row r="41" spans="2:10" ht="15" x14ac:dyDescent="0.25">
      <c r="B41" s="5">
        <v>43312</v>
      </c>
      <c r="C41" s="9">
        <v>183516.02</v>
      </c>
      <c r="D41" s="9">
        <v>16181.55</v>
      </c>
      <c r="E41" s="9">
        <v>368.6</v>
      </c>
      <c r="F41" s="9">
        <v>147650</v>
      </c>
      <c r="G41" s="6">
        <f t="shared" si="0"/>
        <v>51678.969999999972</v>
      </c>
      <c r="H41" s="9">
        <v>248390.08</v>
      </c>
    </row>
    <row r="42" spans="2:10" ht="15" x14ac:dyDescent="0.25">
      <c r="B42" s="5">
        <v>43343</v>
      </c>
      <c r="C42" s="9">
        <v>164131.67000000001</v>
      </c>
      <c r="D42" s="9">
        <v>16909.34</v>
      </c>
      <c r="E42" s="9">
        <v>302.62</v>
      </c>
      <c r="F42" s="9">
        <v>0</v>
      </c>
      <c r="G42" s="6">
        <f t="shared" si="0"/>
        <v>180738.39</v>
      </c>
      <c r="H42" s="9">
        <v>137246.56</v>
      </c>
    </row>
    <row r="43" spans="2:10" ht="15" x14ac:dyDescent="0.25">
      <c r="B43" s="5">
        <v>43373</v>
      </c>
      <c r="C43" s="9">
        <v>175082.52</v>
      </c>
      <c r="D43" s="9">
        <v>14035.32</v>
      </c>
      <c r="E43" s="9">
        <v>482.1</v>
      </c>
      <c r="F43" s="9">
        <v>0</v>
      </c>
      <c r="G43" s="6">
        <f t="shared" si="0"/>
        <v>188635.74</v>
      </c>
      <c r="H43" s="9">
        <v>97185.68</v>
      </c>
    </row>
    <row r="44" spans="2:10" ht="15" x14ac:dyDescent="0.25">
      <c r="B44" s="5">
        <v>43404</v>
      </c>
      <c r="C44" s="9">
        <v>186286.82</v>
      </c>
      <c r="D44" s="9">
        <v>16205.78</v>
      </c>
      <c r="E44" s="9">
        <v>0</v>
      </c>
      <c r="F44" s="9">
        <v>0</v>
      </c>
      <c r="G44" s="6">
        <f t="shared" si="0"/>
        <v>202492.6</v>
      </c>
      <c r="H44" s="9">
        <v>70941.69</v>
      </c>
    </row>
    <row r="45" spans="2:10" ht="15" x14ac:dyDescent="0.25">
      <c r="B45" s="5">
        <v>43434</v>
      </c>
      <c r="C45" s="9">
        <v>185606.73</v>
      </c>
      <c r="D45" s="9">
        <v>14707.82</v>
      </c>
      <c r="E45" s="9">
        <v>13296.08</v>
      </c>
      <c r="F45" s="9">
        <v>0</v>
      </c>
      <c r="G45" s="6">
        <f t="shared" si="0"/>
        <v>187018.47000000003</v>
      </c>
      <c r="H45" s="9">
        <v>61448.92</v>
      </c>
    </row>
    <row r="46" spans="2:10" ht="15" x14ac:dyDescent="0.25">
      <c r="B46" s="5">
        <v>43465</v>
      </c>
      <c r="C46" s="9">
        <v>180501.48</v>
      </c>
      <c r="D46" s="9">
        <v>15931.41</v>
      </c>
      <c r="E46" s="9">
        <f>95.98</f>
        <v>95.98</v>
      </c>
      <c r="F46" s="9">
        <v>0</v>
      </c>
      <c r="G46" s="6">
        <f t="shared" si="0"/>
        <v>196336.91</v>
      </c>
      <c r="H46" s="9">
        <v>18468.39</v>
      </c>
    </row>
    <row r="47" spans="2:10" ht="15" x14ac:dyDescent="0.25">
      <c r="B47" s="5">
        <v>43496</v>
      </c>
      <c r="C47" s="9">
        <v>186097.23</v>
      </c>
      <c r="D47" s="9">
        <v>18196.060000000001</v>
      </c>
      <c r="E47" s="9">
        <v>0</v>
      </c>
      <c r="F47" s="9">
        <v>103.65</v>
      </c>
      <c r="G47" s="6">
        <f t="shared" si="0"/>
        <v>204189.64</v>
      </c>
      <c r="H47" s="9">
        <v>22156.11</v>
      </c>
    </row>
    <row r="48" spans="2:10" ht="15" x14ac:dyDescent="0.25">
      <c r="B48" s="5">
        <v>43524</v>
      </c>
      <c r="C48" s="9">
        <v>181460.71</v>
      </c>
      <c r="D48" s="9">
        <v>17183.59</v>
      </c>
      <c r="E48" s="9">
        <v>67.67</v>
      </c>
      <c r="F48" s="9">
        <v>0</v>
      </c>
      <c r="G48" s="6">
        <f t="shared" si="0"/>
        <v>198576.62999999998</v>
      </c>
      <c r="H48" s="9">
        <v>16828.14</v>
      </c>
    </row>
    <row r="49" spans="2:8" ht="15" x14ac:dyDescent="0.25">
      <c r="B49" s="5">
        <v>43555</v>
      </c>
      <c r="C49" s="9">
        <v>182842.84</v>
      </c>
      <c r="D49" s="9">
        <v>16795.21</v>
      </c>
      <c r="E49" s="9">
        <v>17.18</v>
      </c>
      <c r="F49" s="9">
        <v>0</v>
      </c>
      <c r="G49" s="6">
        <f t="shared" si="0"/>
        <v>199620.87</v>
      </c>
      <c r="H49" s="9">
        <v>20094.82</v>
      </c>
    </row>
    <row r="50" spans="2:8" ht="15" x14ac:dyDescent="0.25">
      <c r="B50" s="5">
        <v>43585</v>
      </c>
      <c r="C50" s="9">
        <v>182008.1</v>
      </c>
      <c r="D50" s="9">
        <v>19646.060000000001</v>
      </c>
      <c r="E50" s="9">
        <v>93.13</v>
      </c>
      <c r="F50" s="9">
        <v>0</v>
      </c>
      <c r="G50" s="6">
        <f t="shared" si="0"/>
        <v>201561.03</v>
      </c>
      <c r="H50" s="9">
        <v>15981.6</v>
      </c>
    </row>
    <row r="51" spans="2:8" ht="15" x14ac:dyDescent="0.25">
      <c r="B51" s="5">
        <v>43616</v>
      </c>
      <c r="C51" s="9">
        <v>187345.16</v>
      </c>
      <c r="D51" s="9">
        <v>21295.18</v>
      </c>
      <c r="E51" s="9">
        <v>16239.88</v>
      </c>
      <c r="F51" s="9">
        <v>0</v>
      </c>
      <c r="G51" s="6">
        <f t="shared" si="0"/>
        <v>192400.46</v>
      </c>
      <c r="H51" s="9">
        <v>13996.65</v>
      </c>
    </row>
    <row r="52" spans="2:8" ht="15" x14ac:dyDescent="0.25">
      <c r="B52" s="5">
        <v>43646</v>
      </c>
      <c r="C52" s="9">
        <v>184929.92000000001</v>
      </c>
      <c r="D52" s="9">
        <v>18970.95</v>
      </c>
      <c r="E52" s="9">
        <v>18.66</v>
      </c>
      <c r="F52" s="9">
        <v>0</v>
      </c>
      <c r="G52" s="6">
        <f t="shared" si="0"/>
        <v>203882.21000000002</v>
      </c>
      <c r="H52" s="9">
        <v>12011.7</v>
      </c>
    </row>
    <row r="53" spans="2:8" ht="15" x14ac:dyDescent="0.25">
      <c r="B53" s="5">
        <v>43677</v>
      </c>
      <c r="C53" s="9">
        <v>187196.81</v>
      </c>
      <c r="D53" s="9">
        <v>23239.360000000001</v>
      </c>
      <c r="E53" s="9">
        <v>0</v>
      </c>
      <c r="F53" s="9">
        <v>0</v>
      </c>
      <c r="G53" s="6">
        <f t="shared" si="0"/>
        <v>210436.16999999998</v>
      </c>
      <c r="H53" s="9">
        <v>12011.7</v>
      </c>
    </row>
    <row r="54" spans="2:8" ht="15" x14ac:dyDescent="0.25">
      <c r="B54" s="5">
        <v>43708</v>
      </c>
      <c r="C54" s="9">
        <v>189784.42</v>
      </c>
      <c r="D54" s="9">
        <v>21479.43</v>
      </c>
      <c r="E54" s="9">
        <v>31.29</v>
      </c>
      <c r="F54" s="9">
        <v>0</v>
      </c>
      <c r="G54" s="6">
        <f t="shared" si="0"/>
        <v>211232.56</v>
      </c>
      <c r="H54" s="9">
        <v>12011.7</v>
      </c>
    </row>
    <row r="55" spans="2:8" ht="15" x14ac:dyDescent="0.25">
      <c r="B55" s="5">
        <v>43738</v>
      </c>
      <c r="C55" s="9">
        <v>196755.45</v>
      </c>
      <c r="D55" s="9">
        <v>20092.560000000001</v>
      </c>
      <c r="E55" s="9">
        <v>40.1</v>
      </c>
      <c r="F55" s="9">
        <v>0</v>
      </c>
      <c r="G55" s="6">
        <f t="shared" si="0"/>
        <v>216807.91</v>
      </c>
      <c r="H55" s="9">
        <v>12011.7</v>
      </c>
    </row>
    <row r="56" spans="2:8" ht="15" x14ac:dyDescent="0.25">
      <c r="B56" s="5">
        <v>43769</v>
      </c>
      <c r="C56" s="9">
        <v>194545.33</v>
      </c>
      <c r="D56" s="9">
        <v>19929.310000000001</v>
      </c>
      <c r="E56" s="9">
        <v>0</v>
      </c>
      <c r="F56" s="9">
        <v>0</v>
      </c>
      <c r="G56" s="6">
        <f t="shared" si="0"/>
        <v>214474.63999999998</v>
      </c>
      <c r="H56" s="9">
        <v>440053</v>
      </c>
    </row>
    <row r="57" spans="2:8" ht="15" x14ac:dyDescent="0.25">
      <c r="B57" s="5">
        <v>43799</v>
      </c>
      <c r="C57" s="9">
        <v>208543.74</v>
      </c>
      <c r="D57" s="9">
        <v>15149.85</v>
      </c>
      <c r="E57" s="9">
        <v>18542.87</v>
      </c>
      <c r="F57" s="9">
        <v>0</v>
      </c>
      <c r="G57" s="6">
        <f t="shared" si="0"/>
        <v>205150.72</v>
      </c>
      <c r="H57" s="9">
        <v>203580.21</v>
      </c>
    </row>
    <row r="58" spans="2:8" ht="15" x14ac:dyDescent="0.25">
      <c r="B58" s="5">
        <v>43830</v>
      </c>
      <c r="C58" s="9">
        <v>192412.87</v>
      </c>
      <c r="D58" s="9">
        <v>14926.29</v>
      </c>
      <c r="E58" s="9">
        <v>416.16</v>
      </c>
      <c r="F58" s="9">
        <v>0</v>
      </c>
      <c r="G58" s="6">
        <f t="shared" si="0"/>
        <v>206923</v>
      </c>
      <c r="H58" s="9">
        <v>171096.03</v>
      </c>
    </row>
    <row r="59" spans="2:8" ht="15" x14ac:dyDescent="0.25">
      <c r="B59" s="5">
        <v>43861</v>
      </c>
      <c r="C59" s="9">
        <v>200095.97731813605</v>
      </c>
      <c r="D59" s="9">
        <v>15182.02</v>
      </c>
      <c r="E59" s="9">
        <v>386.86</v>
      </c>
      <c r="F59" s="9">
        <v>0</v>
      </c>
      <c r="G59" s="6">
        <f t="shared" si="0"/>
        <v>214891.13731813605</v>
      </c>
      <c r="H59" s="9">
        <v>12011.7</v>
      </c>
    </row>
    <row r="60" spans="2:8" ht="15" x14ac:dyDescent="0.25">
      <c r="B60" s="5">
        <v>43890</v>
      </c>
      <c r="C60" s="9">
        <v>189130.09921412304</v>
      </c>
      <c r="D60" s="9">
        <v>11156.49</v>
      </c>
      <c r="E60" s="9">
        <v>32.119999999999997</v>
      </c>
      <c r="F60" s="9">
        <v>0</v>
      </c>
      <c r="G60" s="6">
        <f t="shared" si="0"/>
        <v>200254.46921412303</v>
      </c>
      <c r="H60" s="9">
        <v>12011.7</v>
      </c>
    </row>
    <row r="61" spans="2:8" ht="15" x14ac:dyDescent="0.25">
      <c r="B61" s="5">
        <v>43921</v>
      </c>
      <c r="C61" s="9">
        <v>190403.72</v>
      </c>
      <c r="D61" s="9">
        <v>10631.21</v>
      </c>
      <c r="E61" s="9">
        <v>35.86</v>
      </c>
      <c r="F61" s="9">
        <v>42</v>
      </c>
      <c r="G61" s="6">
        <f t="shared" si="0"/>
        <v>200957.07</v>
      </c>
      <c r="H61" s="9">
        <v>70563.360000000001</v>
      </c>
    </row>
    <row r="62" spans="2:8" ht="15" x14ac:dyDescent="0.25">
      <c r="B62" s="5">
        <v>43951</v>
      </c>
      <c r="C62" s="9">
        <v>197485.84440000003</v>
      </c>
      <c r="D62" s="9">
        <v>5559.76</v>
      </c>
      <c r="E62" s="9">
        <v>110.14</v>
      </c>
      <c r="F62" s="9">
        <v>42</v>
      </c>
      <c r="G62" s="6">
        <f t="shared" si="0"/>
        <v>202893.46440000003</v>
      </c>
      <c r="H62" s="9">
        <v>110516.5</v>
      </c>
    </row>
    <row r="63" spans="2:8" ht="15" x14ac:dyDescent="0.25">
      <c r="B63" s="5">
        <v>43982</v>
      </c>
      <c r="C63" s="9">
        <v>190370.06050000002</v>
      </c>
      <c r="D63" s="9">
        <v>10627.79</v>
      </c>
      <c r="E63" s="9">
        <v>9959.52</v>
      </c>
      <c r="F63" s="9">
        <v>42</v>
      </c>
      <c r="G63" s="6">
        <f t="shared" si="0"/>
        <v>190996.33050000004</v>
      </c>
      <c r="H63" s="9">
        <v>197385.45</v>
      </c>
    </row>
    <row r="64" spans="2:8" ht="15" x14ac:dyDescent="0.25">
      <c r="B64" s="5">
        <v>44012</v>
      </c>
      <c r="C64" s="9">
        <v>189008.95540000001</v>
      </c>
      <c r="D64" s="9">
        <v>6889.24</v>
      </c>
      <c r="E64" s="9">
        <v>0</v>
      </c>
      <c r="F64" s="9">
        <f>36.5+49</f>
        <v>85.5</v>
      </c>
      <c r="G64" s="6">
        <f>C64+D64-E64-F64</f>
        <v>195812.6954</v>
      </c>
      <c r="H64" s="9">
        <v>200022.23</v>
      </c>
    </row>
    <row r="65" spans="2:10" ht="15" x14ac:dyDescent="0.25">
      <c r="B65" s="5">
        <v>44043</v>
      </c>
      <c r="C65" s="9">
        <v>194583.07</v>
      </c>
      <c r="D65" s="9">
        <v>4876.1400000000003</v>
      </c>
      <c r="E65" s="9">
        <v>0</v>
      </c>
      <c r="F65" s="9">
        <v>0</v>
      </c>
      <c r="G65" s="6">
        <f t="shared" ref="G65:G66" si="1">C65+D65-E65-F65</f>
        <v>199459.21000000002</v>
      </c>
      <c r="H65" s="9">
        <v>12011.7</v>
      </c>
    </row>
    <row r="66" spans="2:10" ht="15" x14ac:dyDescent="0.25">
      <c r="B66" s="5">
        <v>44074</v>
      </c>
      <c r="C66" s="9">
        <v>197562.6</v>
      </c>
      <c r="D66" s="9">
        <v>2124.1</v>
      </c>
      <c r="E66" s="9">
        <v>3.45</v>
      </c>
      <c r="F66" s="9">
        <v>0</v>
      </c>
      <c r="G66" s="6">
        <f t="shared" si="1"/>
        <v>199683.25</v>
      </c>
      <c r="H66" s="9">
        <v>12011.7</v>
      </c>
    </row>
    <row r="67" spans="2:10" ht="15" x14ac:dyDescent="0.25">
      <c r="B67" s="5">
        <v>44104</v>
      </c>
      <c r="C67" s="9">
        <v>207660.82</v>
      </c>
      <c r="D67" s="9">
        <v>-21573.01</v>
      </c>
      <c r="E67" s="9">
        <v>0</v>
      </c>
      <c r="F67" s="9">
        <v>0</v>
      </c>
      <c r="G67" s="6">
        <f t="shared" ref="G67:G74" si="2">C67+D67-E67-F67</f>
        <v>186087.81</v>
      </c>
      <c r="H67" s="9">
        <v>12011.7</v>
      </c>
    </row>
    <row r="68" spans="2:10" ht="14.45" x14ac:dyDescent="0.3">
      <c r="B68" s="5">
        <v>44135</v>
      </c>
      <c r="C68" s="9">
        <v>206906.84</v>
      </c>
      <c r="D68" s="9">
        <v>-3549.48</v>
      </c>
      <c r="E68" s="9">
        <v>0</v>
      </c>
      <c r="F68" s="9">
        <v>0</v>
      </c>
      <c r="G68" s="6">
        <f t="shared" si="2"/>
        <v>203357.36</v>
      </c>
      <c r="H68" s="9">
        <v>12011.7</v>
      </c>
    </row>
    <row r="69" spans="2:10" ht="14.45" x14ac:dyDescent="0.3">
      <c r="B69" s="5">
        <v>44165</v>
      </c>
      <c r="C69" s="9">
        <v>203413.27</v>
      </c>
      <c r="D69" s="9">
        <v>1183.18</v>
      </c>
      <c r="E69" s="9">
        <v>0</v>
      </c>
      <c r="F69" s="9">
        <v>0</v>
      </c>
      <c r="G69" s="6">
        <f t="shared" si="2"/>
        <v>204596.44999999998</v>
      </c>
      <c r="H69" s="9">
        <v>12011.7</v>
      </c>
    </row>
    <row r="70" spans="2:10" ht="14.45" x14ac:dyDescent="0.3">
      <c r="B70" s="5">
        <v>44196</v>
      </c>
      <c r="C70" s="9">
        <v>191786.61</v>
      </c>
      <c r="D70" s="9">
        <v>12561.87</v>
      </c>
      <c r="E70" s="9">
        <v>0</v>
      </c>
      <c r="F70" s="9">
        <v>0</v>
      </c>
      <c r="G70" s="6">
        <f t="shared" si="2"/>
        <v>204348.47999999998</v>
      </c>
      <c r="H70" s="9">
        <v>35661.699999999997</v>
      </c>
    </row>
    <row r="71" spans="2:10" ht="14.45" x14ac:dyDescent="0.3">
      <c r="B71" s="5">
        <v>44227</v>
      </c>
      <c r="C71" s="9">
        <v>205986.48</v>
      </c>
      <c r="D71" s="9">
        <v>8846.39</v>
      </c>
      <c r="E71" s="9"/>
      <c r="F71" s="9">
        <v>0</v>
      </c>
      <c r="G71" s="6">
        <f t="shared" si="2"/>
        <v>214832.87</v>
      </c>
      <c r="H71" s="9">
        <v>12011.7</v>
      </c>
    </row>
    <row r="72" spans="2:10" ht="14.45" x14ac:dyDescent="0.3">
      <c r="B72" s="5">
        <v>44255</v>
      </c>
      <c r="C72" s="9">
        <v>200708.52</v>
      </c>
      <c r="D72" s="9">
        <v>-261.33</v>
      </c>
      <c r="E72" s="9"/>
      <c r="F72" s="9">
        <v>0</v>
      </c>
      <c r="G72" s="6">
        <f t="shared" si="2"/>
        <v>200447.19</v>
      </c>
      <c r="H72" s="9">
        <v>7861.7</v>
      </c>
    </row>
    <row r="73" spans="2:10" ht="14.45" x14ac:dyDescent="0.3">
      <c r="B73" s="5">
        <v>44286</v>
      </c>
      <c r="C73" s="9">
        <v>196545.59</v>
      </c>
      <c r="D73" s="9">
        <v>5958.78</v>
      </c>
      <c r="E73" s="9"/>
      <c r="F73" s="9">
        <v>0</v>
      </c>
      <c r="G73" s="6">
        <f t="shared" si="2"/>
        <v>202504.37</v>
      </c>
      <c r="H73" s="9">
        <v>7861.7</v>
      </c>
    </row>
    <row r="74" spans="2:10" ht="14.45" x14ac:dyDescent="0.3">
      <c r="B74" s="5">
        <v>44316</v>
      </c>
      <c r="C74" s="9">
        <v>0</v>
      </c>
      <c r="D74" s="9">
        <v>4886.97</v>
      </c>
      <c r="E74" s="9">
        <v>0.93</v>
      </c>
      <c r="F74" s="9">
        <v>0</v>
      </c>
      <c r="G74" s="6">
        <f t="shared" si="2"/>
        <v>4886.04</v>
      </c>
      <c r="H74" s="9">
        <v>80329.84</v>
      </c>
    </row>
    <row r="75" spans="2:10" ht="14.45" x14ac:dyDescent="0.3">
      <c r="B75" s="5"/>
      <c r="C75" s="9"/>
      <c r="D75" s="9"/>
      <c r="E75" s="9"/>
      <c r="F75" s="9"/>
      <c r="G75" s="6"/>
      <c r="H75" s="9"/>
    </row>
    <row r="76" spans="2:10" s="3" customFormat="1" ht="15" x14ac:dyDescent="0.25">
      <c r="B76" s="13" t="s">
        <v>35</v>
      </c>
      <c r="C76" s="14">
        <f>SUM(C14:C75)</f>
        <v>10873204.616832258</v>
      </c>
      <c r="D76" s="14">
        <f>SUM(D14:D75)</f>
        <v>701262.94000000041</v>
      </c>
      <c r="E76" s="14">
        <f t="shared" ref="E76:F76" si="3">SUM(E14:E75)</f>
        <v>112497.77999999998</v>
      </c>
      <c r="F76" s="14">
        <f t="shared" si="3"/>
        <v>148009.26999999999</v>
      </c>
      <c r="G76" s="14">
        <f>SUM(G14:G75)</f>
        <v>11313960.506832253</v>
      </c>
      <c r="H76" s="14">
        <f>SUM(H14:H75)</f>
        <v>3153375.3600000013</v>
      </c>
      <c r="J76" s="40">
        <v>266838.74</v>
      </c>
    </row>
    <row r="77" spans="2:10" ht="10.15" x14ac:dyDescent="0.2">
      <c r="H77" s="38"/>
      <c r="J77" s="43">
        <f>C64</f>
        <v>189008.95540000001</v>
      </c>
    </row>
    <row r="78" spans="2:10" ht="10.15" x14ac:dyDescent="0.2">
      <c r="B78" s="25" t="s">
        <v>23</v>
      </c>
      <c r="H78" s="38"/>
      <c r="J78" s="38">
        <f>J76-J77</f>
        <v>77829.784599999984</v>
      </c>
    </row>
    <row r="79" spans="2:10" x14ac:dyDescent="0.2">
      <c r="B79" s="26" t="s">
        <v>58</v>
      </c>
    </row>
    <row r="80" spans="2:10" x14ac:dyDescent="0.2">
      <c r="B80" s="26" t="s">
        <v>57</v>
      </c>
    </row>
    <row r="81" spans="2:7" x14ac:dyDescent="0.2">
      <c r="B81" s="26" t="s">
        <v>59</v>
      </c>
    </row>
    <row r="84" spans="2:7" ht="10.15" x14ac:dyDescent="0.2">
      <c r="G84" s="43"/>
    </row>
    <row r="88" spans="2:7" ht="10.15" x14ac:dyDescent="0.2">
      <c r="D88" s="43"/>
    </row>
  </sheetData>
  <mergeCells count="4">
    <mergeCell ref="B12:B13"/>
    <mergeCell ref="B2:H3"/>
    <mergeCell ref="C12:G12"/>
    <mergeCell ref="B11:H11"/>
  </mergeCell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AH85"/>
  <sheetViews>
    <sheetView showGridLines="0" topLeftCell="A47" zoomScaleNormal="100" workbookViewId="0">
      <selection activeCell="C75" sqref="C75"/>
    </sheetView>
  </sheetViews>
  <sheetFormatPr defaultColWidth="8.6640625" defaultRowHeight="11.25" x14ac:dyDescent="0.2"/>
  <cols>
    <col min="1" max="1" width="2.6640625" customWidth="1"/>
    <col min="2" max="2" width="12.6640625" customWidth="1"/>
    <col min="3" max="6" width="18.5" customWidth="1"/>
    <col min="7" max="7" width="19.6640625" customWidth="1"/>
    <col min="8" max="8" width="17.5" customWidth="1"/>
    <col min="9" max="9" width="17" customWidth="1"/>
    <col min="10" max="13" width="15.6640625" customWidth="1"/>
    <col min="14" max="14" width="16.6640625" customWidth="1"/>
    <col min="15" max="15" width="15.6640625" customWidth="1"/>
    <col min="16" max="16" width="17.6640625" customWidth="1"/>
    <col min="17" max="18" width="15.6640625" customWidth="1"/>
    <col min="19" max="24" width="17" customWidth="1"/>
    <col min="25" max="25" width="16.83203125" bestFit="1" customWidth="1"/>
    <col min="26" max="26" width="17" customWidth="1"/>
    <col min="27" max="27" width="17.5" style="47" customWidth="1"/>
    <col min="28" max="28" width="11.5" bestFit="1" customWidth="1"/>
    <col min="29" max="30" width="15.1640625" bestFit="1" customWidth="1"/>
    <col min="31" max="32" width="13" bestFit="1" customWidth="1"/>
    <col min="33" max="33" width="11.5" bestFit="1" customWidth="1"/>
    <col min="34" max="34" width="9.5" bestFit="1" customWidth="1"/>
  </cols>
  <sheetData>
    <row r="2" spans="2:30" ht="15" customHeight="1" x14ac:dyDescent="0.2">
      <c r="B2" s="71" t="s">
        <v>18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</row>
    <row r="3" spans="2:30" ht="15" customHeight="1" x14ac:dyDescent="0.2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</row>
    <row r="5" spans="2:30" s="15" customFormat="1" ht="19.899999999999999" customHeight="1" x14ac:dyDescent="0.25">
      <c r="B5" s="21" t="s">
        <v>39</v>
      </c>
      <c r="C5" s="21"/>
      <c r="D5" s="21"/>
      <c r="E5" s="21"/>
      <c r="F5" s="22" t="s">
        <v>0</v>
      </c>
      <c r="G5" s="22"/>
      <c r="H5" s="22"/>
      <c r="I5" s="22"/>
      <c r="J5" s="22"/>
      <c r="K5" s="22"/>
      <c r="L5" s="22"/>
      <c r="M5" s="22"/>
      <c r="N5" s="22"/>
      <c r="O5" s="22"/>
      <c r="AA5" s="60"/>
    </row>
    <row r="6" spans="2:30" s="15" customFormat="1" ht="6" customHeight="1" x14ac:dyDescent="0.3">
      <c r="B6" s="16"/>
      <c r="C6" s="16"/>
      <c r="D6" s="16"/>
      <c r="E6" s="16"/>
      <c r="F6" s="17"/>
      <c r="G6" s="17"/>
      <c r="H6" s="17"/>
      <c r="I6" s="17"/>
      <c r="J6" s="17"/>
      <c r="K6" s="17"/>
      <c r="L6" s="17"/>
      <c r="M6" s="17"/>
      <c r="N6" s="17"/>
      <c r="O6" s="17"/>
      <c r="AA6" s="60"/>
    </row>
    <row r="7" spans="2:30" s="15" customFormat="1" ht="19.899999999999999" customHeight="1" x14ac:dyDescent="0.25">
      <c r="B7" s="21" t="s">
        <v>40</v>
      </c>
      <c r="C7" s="21"/>
      <c r="D7" s="21"/>
      <c r="E7" s="21"/>
      <c r="F7" s="22" t="s">
        <v>43</v>
      </c>
      <c r="G7" s="22"/>
      <c r="H7" s="22"/>
      <c r="I7" s="22"/>
      <c r="J7" s="22"/>
      <c r="K7" s="22"/>
      <c r="L7" s="22"/>
      <c r="M7" s="22"/>
      <c r="N7" s="22"/>
      <c r="O7" s="22"/>
      <c r="AA7" s="60"/>
    </row>
    <row r="8" spans="2:30" ht="6" customHeight="1" x14ac:dyDescent="0.2">
      <c r="B8" s="23"/>
      <c r="C8" s="23"/>
      <c r="D8" s="23"/>
      <c r="E8" s="23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2:30" ht="15.75" x14ac:dyDescent="0.25">
      <c r="B9" s="24" t="s">
        <v>55</v>
      </c>
      <c r="C9" s="24"/>
      <c r="D9" s="24"/>
      <c r="E9" s="24"/>
      <c r="F9" s="24"/>
      <c r="G9" s="24"/>
      <c r="H9" s="24"/>
    </row>
    <row r="10" spans="2:30" ht="10.15" customHeight="1" x14ac:dyDescent="0.3">
      <c r="B10" s="19"/>
      <c r="C10" s="19"/>
      <c r="D10" s="19"/>
      <c r="E10" s="19"/>
      <c r="F10" s="19"/>
      <c r="G10" s="19"/>
      <c r="H10" s="19"/>
    </row>
    <row r="11" spans="2:30" ht="75" customHeight="1" x14ac:dyDescent="0.2"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</row>
    <row r="12" spans="2:30" ht="15" customHeight="1" x14ac:dyDescent="0.2">
      <c r="B12" s="80" t="s">
        <v>54</v>
      </c>
      <c r="C12" s="73" t="s">
        <v>6</v>
      </c>
      <c r="D12" s="73"/>
      <c r="E12" s="73"/>
      <c r="F12" s="73"/>
      <c r="G12" s="41"/>
      <c r="H12" s="86" t="s">
        <v>15</v>
      </c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</row>
    <row r="13" spans="2:30" ht="105" x14ac:dyDescent="0.2">
      <c r="B13" s="81"/>
      <c r="C13" s="4" t="s">
        <v>33</v>
      </c>
      <c r="D13" s="4" t="s">
        <v>34</v>
      </c>
      <c r="E13" s="28" t="s">
        <v>48</v>
      </c>
      <c r="F13" s="4" t="s">
        <v>35</v>
      </c>
      <c r="G13" s="12" t="s">
        <v>61</v>
      </c>
      <c r="H13" s="12" t="s">
        <v>25</v>
      </c>
      <c r="I13" s="12" t="s">
        <v>7</v>
      </c>
      <c r="J13" s="12" t="s">
        <v>8</v>
      </c>
      <c r="K13" s="12" t="s">
        <v>9</v>
      </c>
      <c r="L13" s="12" t="s">
        <v>10</v>
      </c>
      <c r="M13" s="12" t="s">
        <v>11</v>
      </c>
      <c r="N13" s="12" t="s">
        <v>12</v>
      </c>
      <c r="O13" s="12" t="s">
        <v>13</v>
      </c>
      <c r="P13" s="12" t="s">
        <v>26</v>
      </c>
      <c r="Q13" s="12" t="s">
        <v>14</v>
      </c>
      <c r="R13" s="12" t="s">
        <v>27</v>
      </c>
      <c r="S13" s="12" t="s">
        <v>28</v>
      </c>
      <c r="T13" s="12" t="s">
        <v>62</v>
      </c>
      <c r="U13" s="12" t="s">
        <v>64</v>
      </c>
      <c r="V13" s="12" t="s">
        <v>65</v>
      </c>
      <c r="W13" s="12" t="s">
        <v>89</v>
      </c>
      <c r="X13" s="12" t="s">
        <v>67</v>
      </c>
      <c r="Y13" s="12" t="s">
        <v>88</v>
      </c>
      <c r="Z13" s="12" t="s">
        <v>68</v>
      </c>
      <c r="AA13" s="61" t="s">
        <v>35</v>
      </c>
      <c r="AD13" s="55"/>
    </row>
    <row r="14" spans="2:30" ht="14.45" x14ac:dyDescent="0.3">
      <c r="B14" s="5">
        <v>42490</v>
      </c>
      <c r="C14" s="6">
        <f>2143680.26+859667.92</f>
        <v>3003348.1799999997</v>
      </c>
      <c r="D14" s="6">
        <v>0</v>
      </c>
      <c r="E14" s="6">
        <v>0</v>
      </c>
      <c r="F14" s="6">
        <f t="shared" ref="F14:F45" si="0">C14+D14-E14</f>
        <v>3003348.1799999997</v>
      </c>
      <c r="G14" s="8">
        <v>0</v>
      </c>
      <c r="H14" s="8">
        <v>800000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62">
        <f>SUM(G14:Z14)</f>
        <v>800000</v>
      </c>
      <c r="AC14" s="55"/>
      <c r="AD14" s="55"/>
    </row>
    <row r="15" spans="2:30" ht="14.45" x14ac:dyDescent="0.3">
      <c r="B15" s="5">
        <v>42521</v>
      </c>
      <c r="C15" s="8">
        <f>2151046.61+878572.29</f>
        <v>3029618.9</v>
      </c>
      <c r="D15" s="8">
        <v>0</v>
      </c>
      <c r="E15" s="8">
        <v>0</v>
      </c>
      <c r="F15" s="6">
        <f t="shared" si="0"/>
        <v>3029618.9</v>
      </c>
      <c r="G15" s="42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25930</v>
      </c>
      <c r="P15" s="8">
        <v>0</v>
      </c>
      <c r="Q15" s="8">
        <v>0</v>
      </c>
      <c r="R15" s="8">
        <v>0</v>
      </c>
      <c r="S15" s="8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62">
        <f t="shared" ref="AA15:AA63" si="1">SUM(G15:Z15)</f>
        <v>25930</v>
      </c>
      <c r="AC15" s="55"/>
      <c r="AD15" s="55"/>
    </row>
    <row r="16" spans="2:30" ht="14.45" x14ac:dyDescent="0.3">
      <c r="B16" s="5">
        <v>42551</v>
      </c>
      <c r="C16" s="8">
        <f>2015530.74+517265.01</f>
        <v>2532795.75</v>
      </c>
      <c r="D16" s="8">
        <f>28590.7</f>
        <v>28590.7</v>
      </c>
      <c r="E16" s="8">
        <v>471.61</v>
      </c>
      <c r="F16" s="6">
        <f t="shared" si="0"/>
        <v>2560914.8400000003</v>
      </c>
      <c r="G16" s="42">
        <v>0</v>
      </c>
      <c r="H16" s="8">
        <v>458566.94</v>
      </c>
      <c r="I16" s="8">
        <v>264865.67</v>
      </c>
      <c r="J16" s="8">
        <v>0</v>
      </c>
      <c r="K16" s="8">
        <v>0</v>
      </c>
      <c r="L16" s="8">
        <v>105380.38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1744.07</v>
      </c>
      <c r="AA16" s="62">
        <f t="shared" si="1"/>
        <v>830557.05999999994</v>
      </c>
      <c r="AC16" s="55"/>
      <c r="AD16" s="55"/>
    </row>
    <row r="17" spans="2:30" ht="15" x14ac:dyDescent="0.25">
      <c r="B17" s="5">
        <v>42582</v>
      </c>
      <c r="C17" s="8">
        <f>1980242.29+271137.59</f>
        <v>2251379.88</v>
      </c>
      <c r="D17" s="8">
        <f>41023.11</f>
        <v>41023.11</v>
      </c>
      <c r="E17" s="8">
        <v>3962.93</v>
      </c>
      <c r="F17" s="6">
        <f t="shared" si="0"/>
        <v>2288440.0599999996</v>
      </c>
      <c r="G17" s="42">
        <v>0</v>
      </c>
      <c r="H17" s="8">
        <v>500000</v>
      </c>
      <c r="I17" s="8">
        <v>363830.82</v>
      </c>
      <c r="J17" s="8">
        <v>0</v>
      </c>
      <c r="K17" s="8">
        <v>0</v>
      </c>
      <c r="L17" s="8">
        <v>102857.13</v>
      </c>
      <c r="M17" s="8">
        <v>42325</v>
      </c>
      <c r="N17" s="8">
        <v>34720.76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62">
        <f t="shared" si="1"/>
        <v>1043733.7100000001</v>
      </c>
      <c r="AC17" s="55"/>
      <c r="AD17" s="55"/>
    </row>
    <row r="18" spans="2:30" ht="15" x14ac:dyDescent="0.25">
      <c r="B18" s="5">
        <v>42613</v>
      </c>
      <c r="C18" s="8">
        <f>2007797.38+425821.65</f>
        <v>2433619.0299999998</v>
      </c>
      <c r="D18" s="8">
        <f>61645.74</f>
        <v>61645.74</v>
      </c>
      <c r="E18" s="8">
        <v>5298.32</v>
      </c>
      <c r="F18" s="6">
        <f t="shared" si="0"/>
        <v>2489966.4500000002</v>
      </c>
      <c r="G18" s="42">
        <v>0</v>
      </c>
      <c r="H18" s="8">
        <v>500000</v>
      </c>
      <c r="I18" s="8">
        <v>179315.21</v>
      </c>
      <c r="J18" s="8">
        <v>0</v>
      </c>
      <c r="K18" s="8">
        <v>0</v>
      </c>
      <c r="L18" s="8">
        <v>355590.43</v>
      </c>
      <c r="M18" s="8">
        <v>6000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62">
        <f t="shared" si="1"/>
        <v>1040905.6399999999</v>
      </c>
      <c r="AC18" s="55"/>
      <c r="AD18" s="55"/>
    </row>
    <row r="19" spans="2:30" ht="15" x14ac:dyDescent="0.25">
      <c r="B19" s="5">
        <v>42643</v>
      </c>
      <c r="C19" s="9">
        <f>2081385.15+517265.01</f>
        <v>2598650.16</v>
      </c>
      <c r="D19" s="9">
        <f>64803.82</f>
        <v>64803.82</v>
      </c>
      <c r="E19" s="9">
        <v>6952.59</v>
      </c>
      <c r="F19" s="6">
        <f t="shared" si="0"/>
        <v>2656501.39</v>
      </c>
      <c r="G19" s="42">
        <v>0</v>
      </c>
      <c r="H19" s="9">
        <f>24520.97+568912.09</f>
        <v>593433.05999999994</v>
      </c>
      <c r="I19" s="9">
        <v>186219.56</v>
      </c>
      <c r="J19" s="8">
        <v>0</v>
      </c>
      <c r="K19" s="8">
        <v>29367.89</v>
      </c>
      <c r="L19" s="9">
        <v>0</v>
      </c>
      <c r="M19" s="9">
        <v>58859.9</v>
      </c>
      <c r="N19" s="9">
        <v>125002.85</v>
      </c>
      <c r="O19" s="9">
        <v>0</v>
      </c>
      <c r="P19" s="9">
        <v>0</v>
      </c>
      <c r="Q19" s="8">
        <v>0</v>
      </c>
      <c r="R19" s="8">
        <v>0</v>
      </c>
      <c r="S19" s="8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62">
        <f t="shared" si="1"/>
        <v>992883.25999999989</v>
      </c>
      <c r="AC19" s="55"/>
      <c r="AD19" s="55"/>
    </row>
    <row r="20" spans="2:30" ht="14.45" x14ac:dyDescent="0.3">
      <c r="B20" s="5">
        <v>42674</v>
      </c>
      <c r="C20" s="9">
        <f>2029494.39+16712.53</f>
        <v>2046206.92</v>
      </c>
      <c r="D20" s="9">
        <f>77306.18</f>
        <v>77306.179999999993</v>
      </c>
      <c r="E20" s="9">
        <v>8987.56</v>
      </c>
      <c r="F20" s="6">
        <f t="shared" si="0"/>
        <v>2114525.54</v>
      </c>
      <c r="G20" s="42">
        <v>0</v>
      </c>
      <c r="H20" s="9">
        <v>520235</v>
      </c>
      <c r="I20" s="9">
        <v>187127.47</v>
      </c>
      <c r="J20" s="8">
        <v>0</v>
      </c>
      <c r="K20" s="8">
        <v>0</v>
      </c>
      <c r="L20" s="9">
        <v>440187.43</v>
      </c>
      <c r="M20" s="9">
        <v>79499</v>
      </c>
      <c r="N20" s="9">
        <v>232409.25</v>
      </c>
      <c r="O20" s="9">
        <v>0</v>
      </c>
      <c r="P20" s="9">
        <v>0</v>
      </c>
      <c r="Q20" s="8">
        <v>0</v>
      </c>
      <c r="R20" s="8">
        <v>0</v>
      </c>
      <c r="S20" s="8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62">
        <f t="shared" si="1"/>
        <v>1459458.15</v>
      </c>
      <c r="AC20" s="55"/>
      <c r="AD20" s="55"/>
    </row>
    <row r="21" spans="2:30" ht="14.45" x14ac:dyDescent="0.3">
      <c r="B21" s="5">
        <v>42704</v>
      </c>
      <c r="C21" s="9">
        <f>2036588.68+17936.26</f>
        <v>2054524.94</v>
      </c>
      <c r="D21" s="9">
        <f>91058.82</f>
        <v>91058.82</v>
      </c>
      <c r="E21" s="9">
        <v>41293.83</v>
      </c>
      <c r="F21" s="6">
        <f t="shared" si="0"/>
        <v>2104289.9299999997</v>
      </c>
      <c r="G21" s="42">
        <v>0</v>
      </c>
      <c r="H21" s="9">
        <v>860000</v>
      </c>
      <c r="I21" s="9">
        <v>191359.01</v>
      </c>
      <c r="J21" s="8">
        <v>0</v>
      </c>
      <c r="K21" s="8">
        <v>0</v>
      </c>
      <c r="L21" s="9">
        <v>198825.47</v>
      </c>
      <c r="M21" s="9">
        <v>0</v>
      </c>
      <c r="N21" s="9">
        <v>187226.66</v>
      </c>
      <c r="O21" s="9">
        <v>0</v>
      </c>
      <c r="P21" s="9">
        <v>0</v>
      </c>
      <c r="Q21" s="8">
        <v>0</v>
      </c>
      <c r="R21" s="8">
        <v>0</v>
      </c>
      <c r="S21" s="8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62">
        <f t="shared" si="1"/>
        <v>1437411.14</v>
      </c>
      <c r="AC21" s="55"/>
      <c r="AD21" s="55"/>
    </row>
    <row r="22" spans="2:30" ht="14.45" x14ac:dyDescent="0.3">
      <c r="B22" s="5">
        <v>42735</v>
      </c>
      <c r="C22" s="9">
        <f>2076962.68+208039.08</f>
        <v>2285001.7599999998</v>
      </c>
      <c r="D22" s="9">
        <v>89670.7</v>
      </c>
      <c r="E22" s="9">
        <v>7794</v>
      </c>
      <c r="F22" s="6">
        <f t="shared" si="0"/>
        <v>2366878.46</v>
      </c>
      <c r="G22" s="42">
        <v>0</v>
      </c>
      <c r="H22" s="9">
        <v>1399415.06</v>
      </c>
      <c r="I22" s="9">
        <v>193133.62</v>
      </c>
      <c r="J22" s="8">
        <v>0</v>
      </c>
      <c r="K22" s="9">
        <v>8763.0300000000007</v>
      </c>
      <c r="L22" s="9">
        <v>0</v>
      </c>
      <c r="M22" s="9">
        <v>0</v>
      </c>
      <c r="N22" s="9">
        <v>225339.78</v>
      </c>
      <c r="O22" s="9">
        <v>0</v>
      </c>
      <c r="P22" s="9">
        <v>0</v>
      </c>
      <c r="Q22" s="8">
        <v>0</v>
      </c>
      <c r="R22" s="8">
        <v>0</v>
      </c>
      <c r="S22" s="8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62">
        <f t="shared" si="1"/>
        <v>1826651.4900000002</v>
      </c>
      <c r="AC22" s="55"/>
      <c r="AD22" s="55"/>
    </row>
    <row r="23" spans="2:30" ht="14.45" x14ac:dyDescent="0.3">
      <c r="B23" s="5">
        <v>42766</v>
      </c>
      <c r="C23" s="9">
        <f>2266495.56+628801.07</f>
        <v>2895296.63</v>
      </c>
      <c r="D23" s="9">
        <v>78765.17</v>
      </c>
      <c r="E23" s="9">
        <v>3352.1</v>
      </c>
      <c r="F23" s="6">
        <f t="shared" si="0"/>
        <v>2970709.6999999997</v>
      </c>
      <c r="G23" s="42">
        <v>0</v>
      </c>
      <c r="H23" s="9">
        <v>0</v>
      </c>
      <c r="I23" s="9">
        <v>250658.88</v>
      </c>
      <c r="J23" s="8">
        <v>0</v>
      </c>
      <c r="K23" s="9">
        <v>28350.44</v>
      </c>
      <c r="L23" s="9">
        <v>172944.81</v>
      </c>
      <c r="M23" s="9">
        <v>0</v>
      </c>
      <c r="N23" s="9">
        <v>345413.71</v>
      </c>
      <c r="O23" s="9">
        <v>0</v>
      </c>
      <c r="P23" s="9">
        <v>51199</v>
      </c>
      <c r="Q23" s="8">
        <v>0</v>
      </c>
      <c r="R23" s="8">
        <v>0</v>
      </c>
      <c r="S23" s="8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62">
        <f t="shared" si="1"/>
        <v>848566.84000000008</v>
      </c>
      <c r="AC23" s="55"/>
      <c r="AD23" s="55"/>
    </row>
    <row r="24" spans="2:30" ht="14.45" x14ac:dyDescent="0.3">
      <c r="B24" s="5">
        <v>42794</v>
      </c>
      <c r="C24" s="9">
        <f>2125671.58+326404.48</f>
        <v>2452076.06</v>
      </c>
      <c r="D24" s="9">
        <v>67247.11</v>
      </c>
      <c r="E24" s="9">
        <v>6089.77</v>
      </c>
      <c r="F24" s="6">
        <f t="shared" si="0"/>
        <v>2513233.4</v>
      </c>
      <c r="G24" s="42">
        <v>0</v>
      </c>
      <c r="H24" s="9">
        <v>382136.64</v>
      </c>
      <c r="I24" s="9">
        <v>174988.76</v>
      </c>
      <c r="J24" s="8">
        <v>0</v>
      </c>
      <c r="K24" s="9">
        <v>32982.720000000001</v>
      </c>
      <c r="L24" s="9">
        <v>238129.35</v>
      </c>
      <c r="M24" s="9">
        <v>0</v>
      </c>
      <c r="N24" s="9">
        <v>0</v>
      </c>
      <c r="O24" s="9">
        <v>0</v>
      </c>
      <c r="P24" s="9">
        <v>0</v>
      </c>
      <c r="Q24" s="8">
        <v>0</v>
      </c>
      <c r="R24" s="8">
        <v>0</v>
      </c>
      <c r="S24" s="8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62">
        <f t="shared" si="1"/>
        <v>828237.47</v>
      </c>
      <c r="AC24" s="55"/>
      <c r="AD24" s="55"/>
    </row>
    <row r="25" spans="2:30" ht="14.45" x14ac:dyDescent="0.3">
      <c r="B25" s="5">
        <v>42825</v>
      </c>
      <c r="C25" s="9">
        <f>2171936.52+517265.01</f>
        <v>2689201.5300000003</v>
      </c>
      <c r="D25" s="9">
        <v>72607.62</v>
      </c>
      <c r="E25" s="9">
        <v>7386.16</v>
      </c>
      <c r="F25" s="6">
        <f t="shared" si="0"/>
        <v>2754422.99</v>
      </c>
      <c r="G25" s="42">
        <v>0</v>
      </c>
      <c r="H25" s="9">
        <v>483983.96</v>
      </c>
      <c r="I25" s="9">
        <f>196558.89+192190.58</f>
        <v>388749.47</v>
      </c>
      <c r="J25" s="8">
        <v>0</v>
      </c>
      <c r="K25" s="9">
        <v>34892.120000000003</v>
      </c>
      <c r="L25" s="9">
        <v>189188.63</v>
      </c>
      <c r="M25" s="9">
        <v>0</v>
      </c>
      <c r="N25" s="9">
        <v>917679.89</v>
      </c>
      <c r="O25" s="9">
        <v>88054</v>
      </c>
      <c r="P25" s="9">
        <v>0</v>
      </c>
      <c r="Q25" s="8">
        <v>0</v>
      </c>
      <c r="R25" s="8">
        <v>0</v>
      </c>
      <c r="S25" s="8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62">
        <f t="shared" si="1"/>
        <v>2102548.0699999998</v>
      </c>
      <c r="AC25" s="55"/>
      <c r="AD25" s="55"/>
    </row>
    <row r="26" spans="2:30" ht="14.45" x14ac:dyDescent="0.3">
      <c r="B26" s="5">
        <v>42855</v>
      </c>
      <c r="C26" s="9">
        <f>2419845.4+642614.14</f>
        <v>3062459.54</v>
      </c>
      <c r="D26" s="9">
        <v>71462.31</v>
      </c>
      <c r="E26" s="9">
        <v>6334.78</v>
      </c>
      <c r="F26" s="6">
        <f t="shared" si="0"/>
        <v>3127587.0700000003</v>
      </c>
      <c r="G26" s="42">
        <v>0</v>
      </c>
      <c r="H26" s="9">
        <v>155423.60999999999</v>
      </c>
      <c r="I26" s="9">
        <v>189120.82</v>
      </c>
      <c r="J26" s="8">
        <v>0</v>
      </c>
      <c r="K26" s="9">
        <v>45971.3</v>
      </c>
      <c r="L26" s="9">
        <v>145377.92000000001</v>
      </c>
      <c r="M26" s="9">
        <v>0</v>
      </c>
      <c r="N26" s="9">
        <v>528609.41</v>
      </c>
      <c r="O26" s="9">
        <v>0</v>
      </c>
      <c r="P26" s="9">
        <v>0</v>
      </c>
      <c r="Q26" s="8">
        <v>0</v>
      </c>
      <c r="R26" s="8">
        <v>0</v>
      </c>
      <c r="S26" s="8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62">
        <f t="shared" si="1"/>
        <v>1064503.06</v>
      </c>
      <c r="AC26" s="55"/>
      <c r="AD26" s="55"/>
    </row>
    <row r="27" spans="2:30" ht="14.45" x14ac:dyDescent="0.3">
      <c r="B27" s="5">
        <v>42886</v>
      </c>
      <c r="C27" s="9">
        <f>2098486.37+372016.94</f>
        <v>2470503.31</v>
      </c>
      <c r="D27" s="9">
        <v>100221.59</v>
      </c>
      <c r="E27" s="9">
        <v>62212.97</v>
      </c>
      <c r="F27" s="6">
        <f t="shared" si="0"/>
        <v>2508511.9299999997</v>
      </c>
      <c r="G27" s="42">
        <v>0</v>
      </c>
      <c r="H27" s="9">
        <v>306232.71000000002</v>
      </c>
      <c r="I27" s="9">
        <v>208896.57</v>
      </c>
      <c r="J27" s="8">
        <v>0</v>
      </c>
      <c r="K27" s="9">
        <v>816909.99</v>
      </c>
      <c r="L27" s="9">
        <v>112131.42</v>
      </c>
      <c r="M27" s="9">
        <v>0</v>
      </c>
      <c r="N27" s="9">
        <v>575542.88</v>
      </c>
      <c r="O27" s="9">
        <v>0</v>
      </c>
      <c r="P27" s="9">
        <v>0</v>
      </c>
      <c r="Q27" s="8">
        <v>0</v>
      </c>
      <c r="R27" s="8">
        <v>0</v>
      </c>
      <c r="S27" s="8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62">
        <f t="shared" si="1"/>
        <v>2019713.5699999998</v>
      </c>
      <c r="AC27" s="55"/>
      <c r="AD27" s="55"/>
    </row>
    <row r="28" spans="2:30" ht="14.45" x14ac:dyDescent="0.3">
      <c r="B28" s="5">
        <v>42916</v>
      </c>
      <c r="C28" s="9">
        <f>2341881.17+506982.01</f>
        <v>2848863.1799999997</v>
      </c>
      <c r="D28" s="9">
        <v>101097.85</v>
      </c>
      <c r="E28" s="9">
        <v>8048.39</v>
      </c>
      <c r="F28" s="6">
        <f t="shared" si="0"/>
        <v>2941912.6399999997</v>
      </c>
      <c r="G28" s="42">
        <v>0</v>
      </c>
      <c r="H28" s="9">
        <v>0</v>
      </c>
      <c r="I28" s="9">
        <v>0</v>
      </c>
      <c r="J28" s="8">
        <v>0</v>
      </c>
      <c r="K28" s="9">
        <v>228056.02</v>
      </c>
      <c r="L28" s="9">
        <v>171342.09</v>
      </c>
      <c r="M28" s="9">
        <v>1470</v>
      </c>
      <c r="N28" s="9">
        <v>513531.89</v>
      </c>
      <c r="O28" s="9">
        <v>0</v>
      </c>
      <c r="P28" s="9">
        <v>45934.17</v>
      </c>
      <c r="Q28" s="8">
        <v>0</v>
      </c>
      <c r="R28" s="8">
        <v>0</v>
      </c>
      <c r="S28" s="8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62">
        <f t="shared" si="1"/>
        <v>960334.17</v>
      </c>
      <c r="AC28" s="55"/>
      <c r="AD28" s="55"/>
    </row>
    <row r="29" spans="2:30" ht="14.45" x14ac:dyDescent="0.3">
      <c r="B29" s="5">
        <v>42947</v>
      </c>
      <c r="C29" s="9">
        <f>2360479.93+506982.01</f>
        <v>2867461.9400000004</v>
      </c>
      <c r="D29" s="9">
        <v>107240.43</v>
      </c>
      <c r="E29" s="9">
        <v>6316.05</v>
      </c>
      <c r="F29" s="6">
        <f t="shared" si="0"/>
        <v>2968386.3200000008</v>
      </c>
      <c r="G29" s="42">
        <v>0</v>
      </c>
      <c r="H29" s="9">
        <v>0</v>
      </c>
      <c r="I29" s="9">
        <v>193500.62</v>
      </c>
      <c r="J29" s="9">
        <v>0</v>
      </c>
      <c r="K29" s="9">
        <v>186441.22</v>
      </c>
      <c r="L29" s="9">
        <v>153469.26999999999</v>
      </c>
      <c r="M29" s="9">
        <v>0</v>
      </c>
      <c r="N29" s="9">
        <v>417884.29</v>
      </c>
      <c r="O29" s="9">
        <v>0</v>
      </c>
      <c r="P29" s="9">
        <v>49950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62">
        <f t="shared" si="1"/>
        <v>1001245.3999999999</v>
      </c>
      <c r="AC29" s="55"/>
      <c r="AD29" s="55"/>
    </row>
    <row r="30" spans="2:30" ht="14.45" x14ac:dyDescent="0.3">
      <c r="B30" s="5">
        <v>42978</v>
      </c>
      <c r="C30" s="9">
        <f>2412115.19+485204.27</f>
        <v>2897319.46</v>
      </c>
      <c r="D30" s="9">
        <v>116737</v>
      </c>
      <c r="E30" s="9">
        <v>7070.98</v>
      </c>
      <c r="F30" s="6">
        <f t="shared" si="0"/>
        <v>3006985.48</v>
      </c>
      <c r="G30" s="42">
        <v>0</v>
      </c>
      <c r="H30" s="9">
        <v>496920.78</v>
      </c>
      <c r="I30" s="9">
        <v>191009.4</v>
      </c>
      <c r="J30" s="9">
        <v>0</v>
      </c>
      <c r="K30" s="9">
        <v>192322.76</v>
      </c>
      <c r="L30" s="9">
        <v>136962.01999999999</v>
      </c>
      <c r="M30" s="9">
        <v>0</v>
      </c>
      <c r="N30" s="9">
        <v>422738.96</v>
      </c>
      <c r="O30" s="9">
        <v>0</v>
      </c>
      <c r="P30" s="9">
        <v>199400.23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62">
        <f t="shared" si="1"/>
        <v>1639354.1500000001</v>
      </c>
      <c r="AC30" s="55"/>
      <c r="AD30" s="55"/>
    </row>
    <row r="31" spans="2:30" ht="14.45" x14ac:dyDescent="0.3">
      <c r="B31" s="5">
        <v>43008</v>
      </c>
      <c r="C31" s="9">
        <f>2501713.69+921361.9</f>
        <v>3423075.59</v>
      </c>
      <c r="D31" s="9">
        <v>103141.61</v>
      </c>
      <c r="E31" s="9">
        <v>5897.58</v>
      </c>
      <c r="F31" s="6">
        <f t="shared" si="0"/>
        <v>3520319.6199999996</v>
      </c>
      <c r="G31" s="42">
        <v>0</v>
      </c>
      <c r="H31" s="9"/>
      <c r="I31" s="9"/>
      <c r="J31" s="9">
        <v>0</v>
      </c>
      <c r="K31" s="9">
        <v>81205.070000000007</v>
      </c>
      <c r="L31" s="9">
        <v>233891.42</v>
      </c>
      <c r="M31" s="9">
        <v>0</v>
      </c>
      <c r="N31" s="9">
        <v>481208.95</v>
      </c>
      <c r="O31" s="9">
        <v>0</v>
      </c>
      <c r="P31" s="9">
        <v>88797.48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62">
        <f t="shared" si="1"/>
        <v>885102.91999999993</v>
      </c>
      <c r="AC31" s="55"/>
      <c r="AD31" s="55"/>
    </row>
    <row r="32" spans="2:30" ht="14.45" x14ac:dyDescent="0.3">
      <c r="B32" s="5">
        <v>43039</v>
      </c>
      <c r="C32" s="9">
        <f>2595460.61+810034.46</f>
        <v>3405495.07</v>
      </c>
      <c r="D32" s="9">
        <v>114702.86</v>
      </c>
      <c r="E32" s="9">
        <v>8213.9</v>
      </c>
      <c r="F32" s="6">
        <f t="shared" si="0"/>
        <v>3511984.03</v>
      </c>
      <c r="G32" s="42">
        <v>0</v>
      </c>
      <c r="H32" s="9">
        <v>193202.18</v>
      </c>
      <c r="I32" s="9">
        <v>159891.54999999999</v>
      </c>
      <c r="J32" s="9">
        <v>0</v>
      </c>
      <c r="K32" s="9">
        <v>205656.82</v>
      </c>
      <c r="L32" s="9">
        <v>128860.3</v>
      </c>
      <c r="M32" s="9">
        <v>0</v>
      </c>
      <c r="N32" s="9">
        <v>494162.69</v>
      </c>
      <c r="O32" s="9">
        <v>0</v>
      </c>
      <c r="P32" s="9">
        <v>340594.39</v>
      </c>
      <c r="Q32" s="9">
        <v>0</v>
      </c>
      <c r="R32" s="9">
        <v>0</v>
      </c>
      <c r="S32" s="9">
        <v>0</v>
      </c>
      <c r="T32" s="9">
        <v>99894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62">
        <f t="shared" si="1"/>
        <v>1622261.9300000002</v>
      </c>
      <c r="AC32" s="55"/>
      <c r="AD32" s="55"/>
    </row>
    <row r="33" spans="2:33" ht="14.45" x14ac:dyDescent="0.3">
      <c r="B33" s="5">
        <v>43069</v>
      </c>
      <c r="C33" s="9">
        <f>2533723.08+506982.01</f>
        <v>3040705.09</v>
      </c>
      <c r="D33" s="9">
        <v>104164.36</v>
      </c>
      <c r="E33" s="9">
        <v>86021.32</v>
      </c>
      <c r="F33" s="6">
        <f t="shared" si="0"/>
        <v>3058848.13</v>
      </c>
      <c r="G33" s="42">
        <v>0</v>
      </c>
      <c r="H33" s="9">
        <v>181991.44</v>
      </c>
      <c r="I33" s="9">
        <v>624865.96</v>
      </c>
      <c r="J33" s="9">
        <v>0</v>
      </c>
      <c r="K33" s="9">
        <v>36679.75</v>
      </c>
      <c r="L33" s="9">
        <v>151837.41</v>
      </c>
      <c r="M33" s="9">
        <v>0</v>
      </c>
      <c r="N33" s="9">
        <v>426540.71</v>
      </c>
      <c r="O33" s="9">
        <v>0</v>
      </c>
      <c r="P33" s="9">
        <v>34099.040000000001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62">
        <f t="shared" si="1"/>
        <v>1456014.31</v>
      </c>
      <c r="AC33" s="55"/>
      <c r="AD33" s="55"/>
    </row>
    <row r="34" spans="2:33" ht="14.45" x14ac:dyDescent="0.3">
      <c r="B34" s="5">
        <v>43100</v>
      </c>
      <c r="C34" s="9">
        <f>2339636.77+10035.15</f>
        <v>2349671.92</v>
      </c>
      <c r="D34" s="9">
        <v>98452.3</v>
      </c>
      <c r="E34" s="9">
        <v>10493.13</v>
      </c>
      <c r="F34" s="6">
        <f t="shared" si="0"/>
        <v>2437631.09</v>
      </c>
      <c r="G34" s="9">
        <v>1541588.31</v>
      </c>
      <c r="H34" s="9">
        <v>116710.49</v>
      </c>
      <c r="I34" s="9">
        <v>174467.35</v>
      </c>
      <c r="J34" s="9">
        <v>0</v>
      </c>
      <c r="K34" s="9">
        <v>113469.42</v>
      </c>
      <c r="L34" s="9">
        <v>112556.71</v>
      </c>
      <c r="M34" s="9">
        <v>0</v>
      </c>
      <c r="N34" s="9">
        <v>389901.87</v>
      </c>
      <c r="O34" s="9">
        <v>0</v>
      </c>
      <c r="P34" s="9">
        <v>22600.080000000002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62">
        <f t="shared" si="1"/>
        <v>2471294.23</v>
      </c>
      <c r="AC34" s="55"/>
      <c r="AD34" s="55"/>
    </row>
    <row r="35" spans="2:33" ht="14.45" x14ac:dyDescent="0.3">
      <c r="B35" s="5">
        <v>43131</v>
      </c>
      <c r="C35" s="9">
        <f>2390302.07+123181.81</f>
        <v>2513483.88</v>
      </c>
      <c r="D35" s="9">
        <v>93452.32</v>
      </c>
      <c r="E35" s="9">
        <v>3887.15</v>
      </c>
      <c r="F35" s="6">
        <f t="shared" si="0"/>
        <v>2603049.0499999998</v>
      </c>
      <c r="G35" s="9">
        <v>116141.35</v>
      </c>
      <c r="H35" s="9">
        <v>258972.31</v>
      </c>
      <c r="I35" s="9">
        <v>0</v>
      </c>
      <c r="J35" s="9">
        <v>0</v>
      </c>
      <c r="K35" s="9">
        <v>124489.86</v>
      </c>
      <c r="L35" s="9">
        <v>158320.67000000001</v>
      </c>
      <c r="M35" s="9">
        <v>0</v>
      </c>
      <c r="N35" s="9">
        <v>383820.53</v>
      </c>
      <c r="O35" s="9">
        <v>0</v>
      </c>
      <c r="P35" s="9">
        <v>98283.77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62">
        <f t="shared" si="1"/>
        <v>1140028.49</v>
      </c>
      <c r="AC35" s="55"/>
      <c r="AD35" s="55"/>
    </row>
    <row r="36" spans="2:33" ht="14.45" x14ac:dyDescent="0.3">
      <c r="B36" s="5">
        <v>43159</v>
      </c>
      <c r="C36" s="9">
        <f>2486608.74+506982.01</f>
        <v>2993590.75</v>
      </c>
      <c r="D36" s="9">
        <f>8.57+88331.11</f>
        <v>88339.680000000008</v>
      </c>
      <c r="E36" s="9">
        <v>5098.75</v>
      </c>
      <c r="F36" s="6">
        <f t="shared" si="0"/>
        <v>3076831.68</v>
      </c>
      <c r="G36" s="9">
        <v>0</v>
      </c>
      <c r="H36" s="9">
        <v>212014.66</v>
      </c>
      <c r="I36" s="9">
        <v>210887.34</v>
      </c>
      <c r="J36" s="9">
        <v>0</v>
      </c>
      <c r="K36" s="9">
        <v>253266.82</v>
      </c>
      <c r="L36" s="9">
        <v>176954.19</v>
      </c>
      <c r="M36" s="9">
        <v>0</v>
      </c>
      <c r="N36" s="9">
        <v>438099.21</v>
      </c>
      <c r="O36" s="9"/>
      <c r="P36" s="9">
        <v>285015.17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8.2200000000000006</v>
      </c>
      <c r="AA36" s="62">
        <f t="shared" si="1"/>
        <v>1576245.6099999999</v>
      </c>
      <c r="AC36" s="55"/>
      <c r="AD36" s="55"/>
    </row>
    <row r="37" spans="2:33" ht="14.45" x14ac:dyDescent="0.3">
      <c r="B37" s="5">
        <v>43190</v>
      </c>
      <c r="C37" s="9">
        <f>2391518.03+72406.87</f>
        <v>2463924.9</v>
      </c>
      <c r="D37" s="9">
        <v>108553.56</v>
      </c>
      <c r="E37" s="9">
        <v>5470.95</v>
      </c>
      <c r="F37" s="6">
        <f t="shared" si="0"/>
        <v>2567007.5099999998</v>
      </c>
      <c r="G37" s="9">
        <v>264116.53999999998</v>
      </c>
      <c r="H37" s="9">
        <v>136715.81</v>
      </c>
      <c r="I37" s="9">
        <v>388856.85</v>
      </c>
      <c r="J37" s="9">
        <v>0</v>
      </c>
      <c r="K37" s="9">
        <v>137330.45000000001</v>
      </c>
      <c r="L37" s="9">
        <v>160980.65</v>
      </c>
      <c r="M37" s="9">
        <v>0</v>
      </c>
      <c r="N37" s="9">
        <v>397549.59</v>
      </c>
      <c r="O37" s="9"/>
      <c r="P37" s="9">
        <v>0</v>
      </c>
      <c r="Q37" s="9">
        <v>0</v>
      </c>
      <c r="R37" s="9">
        <v>0</v>
      </c>
      <c r="S37" s="9">
        <v>252438.34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62">
        <f t="shared" si="1"/>
        <v>1737988.23</v>
      </c>
      <c r="AC37" s="55"/>
      <c r="AD37" s="55"/>
    </row>
    <row r="38" spans="2:33" ht="14.45" x14ac:dyDescent="0.3">
      <c r="B38" s="5">
        <v>43220</v>
      </c>
      <c r="C38" s="9">
        <f>2077849.8+911145.1</f>
        <v>2988994.9</v>
      </c>
      <c r="D38" s="9">
        <v>109472.2</v>
      </c>
      <c r="E38" s="9">
        <v>103932.22</v>
      </c>
      <c r="F38" s="6">
        <f t="shared" si="0"/>
        <v>2994534.88</v>
      </c>
      <c r="G38" s="9"/>
      <c r="H38" s="9">
        <v>389906.56</v>
      </c>
      <c r="I38" s="9">
        <v>260073.06</v>
      </c>
      <c r="J38" s="9">
        <v>0</v>
      </c>
      <c r="K38" s="9">
        <v>191791.32</v>
      </c>
      <c r="L38" s="9">
        <v>337368.67</v>
      </c>
      <c r="M38" s="9">
        <v>0</v>
      </c>
      <c r="N38" s="9">
        <v>500294.21</v>
      </c>
      <c r="O38" s="9">
        <v>25477.759999999998</v>
      </c>
      <c r="P38" s="9">
        <v>119330</v>
      </c>
      <c r="Q38" s="9">
        <v>0</v>
      </c>
      <c r="R38" s="9">
        <v>0</v>
      </c>
      <c r="S38" s="9">
        <v>98095.39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62">
        <f t="shared" si="1"/>
        <v>1922336.9699999997</v>
      </c>
      <c r="AC38" s="55"/>
      <c r="AD38" s="55"/>
      <c r="AE38" s="43"/>
    </row>
    <row r="39" spans="2:33" ht="14.45" x14ac:dyDescent="0.3">
      <c r="B39" s="5">
        <v>43251</v>
      </c>
      <c r="C39" s="9">
        <f>1948613.69+512805.21</f>
        <v>2461418.9</v>
      </c>
      <c r="D39" s="9">
        <v>109526.76</v>
      </c>
      <c r="E39" s="9">
        <v>16572.88</v>
      </c>
      <c r="F39" s="6">
        <f t="shared" si="0"/>
        <v>2554372.7799999998</v>
      </c>
      <c r="G39" s="9">
        <v>160596.49</v>
      </c>
      <c r="H39" s="9">
        <v>0</v>
      </c>
      <c r="I39" s="9">
        <v>0</v>
      </c>
      <c r="J39" s="9">
        <v>0</v>
      </c>
      <c r="K39" s="9">
        <v>202915.76</v>
      </c>
      <c r="L39" s="9">
        <v>256041.06</v>
      </c>
      <c r="M39" s="9">
        <v>0</v>
      </c>
      <c r="N39" s="9">
        <v>582701.81000000006</v>
      </c>
      <c r="O39" s="9">
        <v>8492.59</v>
      </c>
      <c r="P39" s="9">
        <v>0</v>
      </c>
      <c r="Q39" s="9">
        <v>0</v>
      </c>
      <c r="R39" s="9">
        <v>0</v>
      </c>
      <c r="S39" s="9">
        <v>21056.44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1063.8399999999999</v>
      </c>
      <c r="AA39" s="62">
        <f t="shared" si="1"/>
        <v>1232867.9900000002</v>
      </c>
      <c r="AC39" s="55"/>
      <c r="AD39" s="55"/>
    </row>
    <row r="40" spans="2:33" ht="14.45" x14ac:dyDescent="0.3">
      <c r="B40" s="5">
        <v>43281</v>
      </c>
      <c r="C40" s="9">
        <f>2016702.77+530723.82</f>
        <v>2547426.59</v>
      </c>
      <c r="D40" s="9">
        <v>120553.51</v>
      </c>
      <c r="E40" s="9">
        <v>598.25</v>
      </c>
      <c r="F40" s="6">
        <f t="shared" si="0"/>
        <v>2667381.8499999996</v>
      </c>
      <c r="G40" s="9">
        <v>0</v>
      </c>
      <c r="H40" s="9">
        <v>0</v>
      </c>
      <c r="I40" s="9">
        <v>107121.23</v>
      </c>
      <c r="J40" s="9">
        <v>0</v>
      </c>
      <c r="K40" s="9">
        <v>181670.85</v>
      </c>
      <c r="L40" s="9">
        <v>208693.1</v>
      </c>
      <c r="M40" s="9">
        <v>0</v>
      </c>
      <c r="N40" s="9">
        <v>976388.19</v>
      </c>
      <c r="O40" s="9">
        <v>43008.35</v>
      </c>
      <c r="P40" s="9">
        <v>21399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62">
        <f t="shared" si="1"/>
        <v>1538280.7200000002</v>
      </c>
      <c r="AC40" s="55"/>
      <c r="AD40" s="55"/>
    </row>
    <row r="41" spans="2:33" ht="14.45" x14ac:dyDescent="0.3">
      <c r="B41" s="5">
        <v>43312</v>
      </c>
      <c r="C41" s="9">
        <f>2143784+1162935.06</f>
        <v>3306719.06</v>
      </c>
      <c r="D41" s="9">
        <v>133462.84</v>
      </c>
      <c r="E41" s="9">
        <v>2978.41</v>
      </c>
      <c r="F41" s="6">
        <f t="shared" si="0"/>
        <v>3437203.4899999998</v>
      </c>
      <c r="G41" s="57">
        <v>118091.73</v>
      </c>
      <c r="H41" s="57">
        <v>220046.84</v>
      </c>
      <c r="I41" s="57">
        <v>87578.27</v>
      </c>
      <c r="J41" s="57">
        <v>0</v>
      </c>
      <c r="K41" s="57">
        <v>153425.92000000001</v>
      </c>
      <c r="L41" s="57">
        <v>208186.72</v>
      </c>
      <c r="M41" s="57">
        <v>0</v>
      </c>
      <c r="N41" s="57">
        <v>532370.43000000005</v>
      </c>
      <c r="O41" s="57">
        <v>43090.09</v>
      </c>
      <c r="P41" s="57">
        <v>0</v>
      </c>
      <c r="Q41" s="57">
        <v>0</v>
      </c>
      <c r="R41" s="57">
        <v>0</v>
      </c>
      <c r="S41" s="69">
        <v>21072.959999999999</v>
      </c>
      <c r="T41" s="57">
        <v>0</v>
      </c>
      <c r="U41" s="57">
        <v>0</v>
      </c>
      <c r="V41" s="57">
        <v>0</v>
      </c>
      <c r="W41" s="57">
        <v>0</v>
      </c>
      <c r="X41" s="57">
        <v>0</v>
      </c>
      <c r="Y41" s="57">
        <v>0</v>
      </c>
      <c r="Z41" s="57">
        <v>152950</v>
      </c>
      <c r="AA41" s="62">
        <f>SUM(G41:Z41)</f>
        <v>1536812.9600000002</v>
      </c>
      <c r="AC41" s="55"/>
      <c r="AD41" s="55"/>
      <c r="AE41" s="43"/>
      <c r="AF41" s="43"/>
    </row>
    <row r="42" spans="2:33" ht="14.45" x14ac:dyDescent="0.3">
      <c r="B42" s="5">
        <v>43343</v>
      </c>
      <c r="C42" s="9">
        <f>1917341.37+217933.84</f>
        <v>2135275.21</v>
      </c>
      <c r="D42" s="9">
        <v>149100.57</v>
      </c>
      <c r="E42" s="9">
        <v>2932.51</v>
      </c>
      <c r="F42" s="6">
        <f t="shared" si="0"/>
        <v>2281443.27</v>
      </c>
      <c r="G42" s="9">
        <v>185044.54</v>
      </c>
      <c r="H42" s="9">
        <v>0</v>
      </c>
      <c r="I42" s="9">
        <v>78579.61</v>
      </c>
      <c r="J42" s="9">
        <v>0</v>
      </c>
      <c r="K42" s="9">
        <v>259428.4</v>
      </c>
      <c r="L42" s="9">
        <v>157379.93</v>
      </c>
      <c r="M42" s="9">
        <v>0</v>
      </c>
      <c r="N42" s="9">
        <v>557016.01</v>
      </c>
      <c r="O42" s="9">
        <v>88539.25</v>
      </c>
      <c r="P42" s="9">
        <v>0</v>
      </c>
      <c r="Q42" s="9">
        <v>0</v>
      </c>
      <c r="R42" s="9">
        <v>0</v>
      </c>
      <c r="S42" s="9">
        <v>27195.200000000001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2200</v>
      </c>
      <c r="AA42" s="62">
        <f t="shared" si="1"/>
        <v>1355382.94</v>
      </c>
      <c r="AC42" s="55"/>
      <c r="AD42" s="55"/>
      <c r="AE42" s="43"/>
      <c r="AF42" s="43"/>
    </row>
    <row r="43" spans="2:33" ht="14.45" x14ac:dyDescent="0.3">
      <c r="B43" s="5">
        <v>43373</v>
      </c>
      <c r="C43" s="9">
        <f>2045266.22+527413.49</f>
        <v>2572679.71</v>
      </c>
      <c r="D43" s="9">
        <v>132961.35999999999</v>
      </c>
      <c r="E43" s="9">
        <v>4824.7700000000004</v>
      </c>
      <c r="F43" s="6">
        <f t="shared" si="0"/>
        <v>2700816.3</v>
      </c>
      <c r="G43" s="9">
        <v>126826.23</v>
      </c>
      <c r="H43" s="9">
        <v>337810.83</v>
      </c>
      <c r="I43" s="9">
        <v>75001.429999999993</v>
      </c>
      <c r="J43" s="9">
        <v>0</v>
      </c>
      <c r="K43" s="9">
        <v>222952.41</v>
      </c>
      <c r="L43" s="9">
        <v>256434.02</v>
      </c>
      <c r="M43" s="9">
        <v>0</v>
      </c>
      <c r="N43" s="9">
        <v>636814.17000000004</v>
      </c>
      <c r="O43" s="9">
        <v>13427.6</v>
      </c>
      <c r="P43" s="9">
        <v>0</v>
      </c>
      <c r="Q43" s="9">
        <v>0</v>
      </c>
      <c r="R43" s="9">
        <v>0</v>
      </c>
      <c r="S43" s="9">
        <v>92639.82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62">
        <f t="shared" si="1"/>
        <v>1761906.5100000002</v>
      </c>
      <c r="AC43" s="55"/>
      <c r="AD43" s="55"/>
      <c r="AF43" s="43"/>
    </row>
    <row r="44" spans="2:33" ht="14.45" x14ac:dyDescent="0.3">
      <c r="B44" s="5">
        <v>43404</v>
      </c>
      <c r="C44" s="9">
        <f>2176151.7+777494.19</f>
        <v>2953645.89</v>
      </c>
      <c r="D44" s="9">
        <v>153272.88</v>
      </c>
      <c r="E44" s="9">
        <v>0</v>
      </c>
      <c r="F44" s="6">
        <f t="shared" si="0"/>
        <v>3106918.77</v>
      </c>
      <c r="G44" s="9">
        <v>0</v>
      </c>
      <c r="H44" s="9">
        <v>0</v>
      </c>
      <c r="I44" s="9">
        <v>74297.42</v>
      </c>
      <c r="J44" s="9">
        <v>0</v>
      </c>
      <c r="K44" s="9">
        <v>206311.48</v>
      </c>
      <c r="L44" s="9">
        <v>281222.34999999998</v>
      </c>
      <c r="M44" s="9">
        <v>0</v>
      </c>
      <c r="N44" s="9">
        <v>816574.61</v>
      </c>
      <c r="O44" s="9">
        <v>13073.36</v>
      </c>
      <c r="P44" s="9">
        <v>0</v>
      </c>
      <c r="Q44" s="9">
        <v>0</v>
      </c>
      <c r="R44" s="9">
        <v>0</v>
      </c>
      <c r="S44" s="9">
        <v>9411.44</v>
      </c>
      <c r="T44" s="9"/>
      <c r="U44" s="9">
        <v>14616.3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62">
        <f t="shared" si="1"/>
        <v>1415506.96</v>
      </c>
      <c r="AC44" s="55"/>
      <c r="AD44" s="55"/>
      <c r="AF44" s="43"/>
      <c r="AG44" s="43"/>
    </row>
    <row r="45" spans="2:33" ht="14.45" x14ac:dyDescent="0.3">
      <c r="B45" s="5">
        <v>43434</v>
      </c>
      <c r="C45" s="9">
        <f>2168207.12+708674.39</f>
        <v>2876881.5100000002</v>
      </c>
      <c r="D45" s="9">
        <v>151191.29999999999</v>
      </c>
      <c r="E45" s="9">
        <v>119849.12</v>
      </c>
      <c r="F45" s="6">
        <f t="shared" si="0"/>
        <v>2908223.69</v>
      </c>
      <c r="G45" s="9">
        <v>97335.6</v>
      </c>
      <c r="H45" s="9">
        <v>135978.39000000001</v>
      </c>
      <c r="I45" s="9">
        <v>59936.66</v>
      </c>
      <c r="J45" s="9">
        <v>0</v>
      </c>
      <c r="K45" s="9">
        <v>96730.4</v>
      </c>
      <c r="L45" s="9">
        <v>366496.48</v>
      </c>
      <c r="M45" s="9">
        <v>0</v>
      </c>
      <c r="N45" s="9">
        <v>809387.11</v>
      </c>
      <c r="O45" s="9">
        <v>13124.19</v>
      </c>
      <c r="P45" s="9">
        <v>0</v>
      </c>
      <c r="Q45" s="9">
        <v>0</v>
      </c>
      <c r="R45" s="9">
        <v>0</v>
      </c>
      <c r="S45" s="9">
        <v>0</v>
      </c>
      <c r="T45" s="9">
        <v>94911.47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62">
        <f t="shared" si="1"/>
        <v>1673900.3</v>
      </c>
      <c r="AC45" s="55"/>
      <c r="AD45" s="55"/>
    </row>
    <row r="46" spans="2:33" ht="14.45" x14ac:dyDescent="0.3">
      <c r="B46" s="5">
        <v>43465</v>
      </c>
      <c r="C46" s="9">
        <f>2108568.94+554899.7</f>
        <v>2663468.6399999997</v>
      </c>
      <c r="D46" s="9">
        <v>156046.46</v>
      </c>
      <c r="E46" s="9">
        <v>2926.66</v>
      </c>
      <c r="F46" s="6">
        <f t="shared" ref="F46:F74" si="2">C46+D46-E46</f>
        <v>2816588.4399999995</v>
      </c>
      <c r="G46" s="9">
        <v>311648</v>
      </c>
      <c r="H46" s="9">
        <v>50341.41</v>
      </c>
      <c r="I46" s="9">
        <v>54468.06</v>
      </c>
      <c r="J46" s="9">
        <v>0</v>
      </c>
      <c r="K46" s="9">
        <v>26755.34</v>
      </c>
      <c r="L46" s="9">
        <v>373533.43</v>
      </c>
      <c r="M46" s="9">
        <v>5142.6400000000003</v>
      </c>
      <c r="N46" s="9">
        <v>820628.76</v>
      </c>
      <c r="O46" s="9">
        <v>47483.73</v>
      </c>
      <c r="P46" s="9">
        <v>0</v>
      </c>
      <c r="Q46" s="9">
        <v>0</v>
      </c>
      <c r="R46" s="9">
        <v>0</v>
      </c>
      <c r="S46" s="9">
        <v>60560.04</v>
      </c>
      <c r="T46" s="9">
        <v>223571.74</v>
      </c>
      <c r="U46" s="9">
        <v>12463.51</v>
      </c>
      <c r="V46" s="9">
        <v>13000</v>
      </c>
      <c r="W46" s="9">
        <v>0</v>
      </c>
      <c r="X46" s="9">
        <v>0</v>
      </c>
      <c r="Y46" s="9">
        <v>0</v>
      </c>
      <c r="Z46" s="9">
        <v>0</v>
      </c>
      <c r="AA46" s="62">
        <f t="shared" si="1"/>
        <v>1999596.6600000001</v>
      </c>
      <c r="AC46" s="55"/>
      <c r="AD46" s="55"/>
      <c r="AF46" s="43"/>
    </row>
    <row r="47" spans="2:33" ht="14.45" x14ac:dyDescent="0.3">
      <c r="B47" s="5">
        <v>43496</v>
      </c>
      <c r="C47" s="9">
        <f>2173936.98+626246.27</f>
        <v>2800183.25</v>
      </c>
      <c r="D47" s="9">
        <v>175380.36</v>
      </c>
      <c r="E47" s="9">
        <v>5088.8999999999996</v>
      </c>
      <c r="F47" s="6">
        <f t="shared" si="2"/>
        <v>2970474.71</v>
      </c>
      <c r="G47" s="9">
        <v>65192.13</v>
      </c>
      <c r="H47" s="9">
        <v>184357.14</v>
      </c>
      <c r="I47" s="9">
        <v>48685.94</v>
      </c>
      <c r="J47" s="9">
        <v>0</v>
      </c>
      <c r="K47" s="9">
        <v>160828.26</v>
      </c>
      <c r="L47" s="9">
        <v>352470.35</v>
      </c>
      <c r="M47" s="9">
        <v>11652.44</v>
      </c>
      <c r="N47" s="9">
        <v>878946.16</v>
      </c>
      <c r="O47" s="9">
        <v>162847.18</v>
      </c>
      <c r="P47" s="9">
        <v>81020</v>
      </c>
      <c r="Q47" s="9">
        <v>0</v>
      </c>
      <c r="R47" s="9">
        <v>0</v>
      </c>
      <c r="S47" s="9">
        <v>107549.73</v>
      </c>
      <c r="T47" s="9">
        <v>526797.35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62">
        <f t="shared" si="1"/>
        <v>2580346.6799999997</v>
      </c>
      <c r="AC47" s="55"/>
      <c r="AD47" s="55"/>
      <c r="AE47" s="43"/>
      <c r="AF47" s="43"/>
    </row>
    <row r="48" spans="2:33" ht="14.45" x14ac:dyDescent="0.3">
      <c r="B48" s="5">
        <v>43524</v>
      </c>
      <c r="C48" s="9">
        <f>2119774.46+557848.59</f>
        <v>2677623.0499999998</v>
      </c>
      <c r="D48" s="9">
        <v>166298.23999999999</v>
      </c>
      <c r="E48" s="9">
        <v>7702.07</v>
      </c>
      <c r="F48" s="6">
        <f t="shared" si="2"/>
        <v>2836219.22</v>
      </c>
      <c r="G48" s="9"/>
      <c r="H48" s="9">
        <v>0</v>
      </c>
      <c r="I48" s="9">
        <v>57949.04</v>
      </c>
      <c r="J48" s="9">
        <v>0</v>
      </c>
      <c r="K48" s="9">
        <v>287731.96000000002</v>
      </c>
      <c r="L48" s="9">
        <v>313925.84999999998</v>
      </c>
      <c r="M48" s="9">
        <v>29693.5</v>
      </c>
      <c r="N48" s="9">
        <v>837185.06</v>
      </c>
      <c r="O48" s="9">
        <v>16850.009999999998</v>
      </c>
      <c r="P48" s="9">
        <v>0</v>
      </c>
      <c r="Q48" s="9">
        <v>0</v>
      </c>
      <c r="R48" s="9">
        <v>0</v>
      </c>
      <c r="S48" s="9">
        <v>79344.509999999995</v>
      </c>
      <c r="T48" s="9">
        <v>579426.46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62">
        <f t="shared" si="1"/>
        <v>2202106.39</v>
      </c>
      <c r="AC48" s="55"/>
      <c r="AD48" s="55"/>
      <c r="AE48" s="43"/>
      <c r="AF48" s="43"/>
    </row>
    <row r="49" spans="2:34" ht="14.45" x14ac:dyDescent="0.3">
      <c r="B49" s="5">
        <v>43555</v>
      </c>
      <c r="C49" s="9">
        <f>2135920.12+562097.55</f>
        <v>2698017.67</v>
      </c>
      <c r="D49" s="9">
        <v>158489.54</v>
      </c>
      <c r="E49" s="9">
        <v>5353.24</v>
      </c>
      <c r="F49" s="6">
        <f t="shared" si="2"/>
        <v>2851153.9699999997</v>
      </c>
      <c r="G49" s="9">
        <v>51622.57</v>
      </c>
      <c r="H49" s="9">
        <v>0</v>
      </c>
      <c r="I49" s="9">
        <v>49016.77</v>
      </c>
      <c r="J49" s="9">
        <v>0</v>
      </c>
      <c r="K49" s="9">
        <v>231395.09</v>
      </c>
      <c r="L49" s="9">
        <v>317023.74</v>
      </c>
      <c r="M49" s="9">
        <v>0</v>
      </c>
      <c r="N49" s="9">
        <v>840886.48</v>
      </c>
      <c r="O49" s="9">
        <v>91978.63</v>
      </c>
      <c r="P49" s="9">
        <v>117300</v>
      </c>
      <c r="Q49" s="9">
        <v>0</v>
      </c>
      <c r="R49" s="9">
        <v>0</v>
      </c>
      <c r="S49" s="9">
        <v>101822.99</v>
      </c>
      <c r="T49" s="9">
        <v>499158.65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62">
        <f t="shared" si="1"/>
        <v>2300204.92</v>
      </c>
      <c r="AC49" s="55"/>
      <c r="AD49" s="55"/>
      <c r="AF49" s="43"/>
    </row>
    <row r="50" spans="2:34" ht="15" x14ac:dyDescent="0.25">
      <c r="B50" s="5">
        <v>43585</v>
      </c>
      <c r="C50" s="9">
        <f>2126024.75+590119.93</f>
        <v>2716144.68</v>
      </c>
      <c r="D50" s="9">
        <v>178235.84</v>
      </c>
      <c r="E50" s="9">
        <v>8272.07</v>
      </c>
      <c r="F50" s="6">
        <f t="shared" si="2"/>
        <v>2886108.45</v>
      </c>
      <c r="G50" s="56">
        <v>93663.05</v>
      </c>
      <c r="H50" s="56">
        <v>0</v>
      </c>
      <c r="I50" s="56">
        <v>46666.98</v>
      </c>
      <c r="J50" s="56">
        <v>0</v>
      </c>
      <c r="K50" s="56">
        <v>305480.33</v>
      </c>
      <c r="L50" s="56">
        <v>290346</v>
      </c>
      <c r="M50" s="56">
        <v>12639.05</v>
      </c>
      <c r="N50" s="56">
        <v>779914.51</v>
      </c>
      <c r="O50" s="56">
        <v>98298.31</v>
      </c>
      <c r="P50" s="56">
        <v>0</v>
      </c>
      <c r="Q50" s="56">
        <v>0</v>
      </c>
      <c r="R50" s="56">
        <v>0</v>
      </c>
      <c r="S50" s="56">
        <v>42754.98</v>
      </c>
      <c r="T50" s="56">
        <v>0</v>
      </c>
      <c r="U50" s="56">
        <v>0</v>
      </c>
      <c r="V50" s="56">
        <v>0</v>
      </c>
      <c r="W50" s="56">
        <v>0</v>
      </c>
      <c r="X50" s="56">
        <v>0</v>
      </c>
      <c r="Y50" s="56">
        <v>0</v>
      </c>
      <c r="Z50" s="56">
        <v>0</v>
      </c>
      <c r="AA50" s="63">
        <f t="shared" si="1"/>
        <v>1669763.21</v>
      </c>
      <c r="AB50" s="58"/>
      <c r="AC50" s="59"/>
      <c r="AD50" s="59"/>
      <c r="AE50" s="43"/>
    </row>
    <row r="51" spans="2:34" ht="14.45" x14ac:dyDescent="0.3">
      <c r="B51" s="5">
        <v>43616</v>
      </c>
      <c r="C51" s="9">
        <f>2188366.66+677666.84</f>
        <v>2866033.5</v>
      </c>
      <c r="D51" s="9">
        <v>193161.31</v>
      </c>
      <c r="E51" s="9">
        <v>142730.9</v>
      </c>
      <c r="F51" s="6">
        <f t="shared" si="2"/>
        <v>2916463.91</v>
      </c>
      <c r="G51" s="9">
        <v>15801.86</v>
      </c>
      <c r="H51" s="9">
        <v>0</v>
      </c>
      <c r="I51" s="9">
        <v>40576.129999999997</v>
      </c>
      <c r="J51" s="9">
        <v>0</v>
      </c>
      <c r="K51" s="9">
        <v>141737.35</v>
      </c>
      <c r="L51" s="9">
        <v>234140.73</v>
      </c>
      <c r="M51" s="9">
        <v>0</v>
      </c>
      <c r="N51" s="9">
        <v>771065.52</v>
      </c>
      <c r="O51" s="9">
        <v>106374.12</v>
      </c>
      <c r="P51" s="9">
        <v>0</v>
      </c>
      <c r="Q51" s="9">
        <v>0</v>
      </c>
      <c r="R51" s="9">
        <v>0</v>
      </c>
      <c r="S51" s="9">
        <v>27276.77</v>
      </c>
      <c r="T51" s="9">
        <v>443015.12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62">
        <f t="shared" si="1"/>
        <v>1779987.6</v>
      </c>
      <c r="AC51" s="55"/>
      <c r="AD51" s="55"/>
    </row>
    <row r="52" spans="2:34" ht="14.45" x14ac:dyDescent="0.3">
      <c r="B52" s="5">
        <v>43646</v>
      </c>
      <c r="C52" s="9">
        <f>2160154.3+599593.26</f>
        <v>2759747.5599999996</v>
      </c>
      <c r="D52" s="9">
        <v>168745.29</v>
      </c>
      <c r="E52" s="9">
        <v>2650.16</v>
      </c>
      <c r="F52" s="6">
        <f t="shared" si="2"/>
        <v>2925842.6899999995</v>
      </c>
      <c r="G52" s="9">
        <v>221720.09</v>
      </c>
      <c r="H52" s="9">
        <v>0</v>
      </c>
      <c r="I52" s="9">
        <v>37242.160000000003</v>
      </c>
      <c r="J52" s="9">
        <v>0</v>
      </c>
      <c r="K52" s="9">
        <v>404913.78</v>
      </c>
      <c r="L52" s="9">
        <v>346364.49</v>
      </c>
      <c r="M52" s="9">
        <v>47449.95</v>
      </c>
      <c r="N52" s="9">
        <v>812854.62</v>
      </c>
      <c r="O52" s="9">
        <v>117069.59</v>
      </c>
      <c r="P52" s="9">
        <v>0</v>
      </c>
      <c r="Q52" s="9">
        <v>0</v>
      </c>
      <c r="R52" s="9">
        <v>0</v>
      </c>
      <c r="S52" s="9">
        <v>0</v>
      </c>
      <c r="T52" s="9">
        <v>100216.89</v>
      </c>
      <c r="U52" s="9">
        <v>8937.5400000000009</v>
      </c>
      <c r="V52" s="9">
        <v>0</v>
      </c>
      <c r="W52" s="9">
        <v>48300</v>
      </c>
      <c r="X52" s="9">
        <v>0</v>
      </c>
      <c r="Y52" s="9">
        <v>0</v>
      </c>
      <c r="Z52" s="9">
        <v>0</v>
      </c>
      <c r="AA52" s="62">
        <f t="shared" si="1"/>
        <v>2145069.11</v>
      </c>
      <c r="AC52" s="55"/>
      <c r="AD52" s="55"/>
    </row>
    <row r="53" spans="2:34" ht="14.45" x14ac:dyDescent="0.3">
      <c r="B53" s="5">
        <v>43677</v>
      </c>
      <c r="C53" s="9">
        <f>2186633.73+606943.14</f>
        <v>2793576.87</v>
      </c>
      <c r="D53" s="9">
        <v>203076.89</v>
      </c>
      <c r="E53" s="9">
        <v>0</v>
      </c>
      <c r="F53" s="6">
        <f t="shared" si="2"/>
        <v>2996653.7600000002</v>
      </c>
      <c r="G53" s="9">
        <v>10399.030000000001</v>
      </c>
      <c r="H53" s="9">
        <v>0</v>
      </c>
      <c r="I53" s="9">
        <v>38788.269999999997</v>
      </c>
      <c r="J53" s="9">
        <v>0</v>
      </c>
      <c r="K53" s="9">
        <v>255074.38</v>
      </c>
      <c r="L53" s="9">
        <v>328473.89</v>
      </c>
      <c r="M53" s="9">
        <v>156499.5</v>
      </c>
      <c r="N53" s="9">
        <v>759502.98</v>
      </c>
      <c r="O53" s="9">
        <v>484197.64</v>
      </c>
      <c r="P53" s="9">
        <v>0</v>
      </c>
      <c r="Q53" s="9">
        <v>0</v>
      </c>
      <c r="R53" s="9">
        <v>0</v>
      </c>
      <c r="S53" s="9">
        <v>60104.06</v>
      </c>
      <c r="T53" s="9">
        <v>0</v>
      </c>
      <c r="U53" s="9">
        <v>14276.3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62">
        <f t="shared" si="1"/>
        <v>2107316.0499999998</v>
      </c>
      <c r="AC53" s="55"/>
      <c r="AD53" s="55"/>
    </row>
    <row r="54" spans="2:34" ht="14.45" x14ac:dyDescent="0.3">
      <c r="B54" s="5">
        <v>43708</v>
      </c>
      <c r="C54" s="9">
        <f>2216859.42+684372.45</f>
        <v>2901231.87</v>
      </c>
      <c r="D54" s="9">
        <v>186329.31</v>
      </c>
      <c r="E54" s="9">
        <v>5832.41</v>
      </c>
      <c r="F54" s="6">
        <f t="shared" si="2"/>
        <v>3081728.77</v>
      </c>
      <c r="G54" s="9">
        <v>9671.68</v>
      </c>
      <c r="H54" s="9">
        <v>0</v>
      </c>
      <c r="I54" s="9">
        <v>47560.43</v>
      </c>
      <c r="J54" s="9">
        <v>0</v>
      </c>
      <c r="K54" s="9">
        <v>235359.56</v>
      </c>
      <c r="L54" s="9">
        <v>427060.69</v>
      </c>
      <c r="M54" s="9">
        <v>0</v>
      </c>
      <c r="N54" s="9">
        <v>833213.05</v>
      </c>
      <c r="O54" s="9">
        <v>741299.25</v>
      </c>
      <c r="P54" s="9">
        <v>91800</v>
      </c>
      <c r="Q54" s="9">
        <v>0</v>
      </c>
      <c r="R54" s="9">
        <v>0</v>
      </c>
      <c r="S54" s="9">
        <v>0</v>
      </c>
      <c r="T54" s="9">
        <v>0</v>
      </c>
      <c r="U54" s="9">
        <v>7070.17</v>
      </c>
      <c r="V54" s="9">
        <v>0</v>
      </c>
      <c r="W54" s="9">
        <v>94500</v>
      </c>
      <c r="X54" s="9">
        <v>2964</v>
      </c>
      <c r="Y54" s="9">
        <v>0</v>
      </c>
      <c r="Z54" s="9">
        <v>0</v>
      </c>
      <c r="AA54" s="62">
        <f t="shared" si="1"/>
        <v>2490498.83</v>
      </c>
      <c r="AC54" s="55"/>
      <c r="AD54" s="55"/>
    </row>
    <row r="55" spans="2:34" ht="15" x14ac:dyDescent="0.25">
      <c r="B55" s="5">
        <v>43738</v>
      </c>
      <c r="C55" s="9">
        <f>2298287.64+1147080.8</f>
        <v>3445368.4400000004</v>
      </c>
      <c r="D55" s="9">
        <v>170101.57</v>
      </c>
      <c r="E55" s="9">
        <v>7066.2</v>
      </c>
      <c r="F55" s="6">
        <f t="shared" si="2"/>
        <v>3608403.81</v>
      </c>
      <c r="G55" s="56">
        <v>9621.68</v>
      </c>
      <c r="H55" s="56">
        <v>0</v>
      </c>
      <c r="I55" s="56">
        <v>37106.94</v>
      </c>
      <c r="J55" s="56">
        <v>0</v>
      </c>
      <c r="K55" s="56">
        <v>267382.92</v>
      </c>
      <c r="L55" s="56">
        <v>384090.72</v>
      </c>
      <c r="M55" s="56">
        <v>0</v>
      </c>
      <c r="N55" s="56">
        <v>787621.34</v>
      </c>
      <c r="O55" s="56">
        <v>409886.55</v>
      </c>
      <c r="P55" s="56">
        <v>0</v>
      </c>
      <c r="Q55" s="56">
        <v>0</v>
      </c>
      <c r="R55" s="56">
        <v>0</v>
      </c>
      <c r="S55" s="56">
        <v>80519.929999999993</v>
      </c>
      <c r="T55" s="56">
        <v>0</v>
      </c>
      <c r="U55" s="56">
        <v>16542.38</v>
      </c>
      <c r="V55" s="56">
        <v>0</v>
      </c>
      <c r="W55" s="56">
        <v>46200</v>
      </c>
      <c r="X55" s="56">
        <v>0</v>
      </c>
      <c r="Y55" s="56">
        <v>0</v>
      </c>
      <c r="Z55" s="56">
        <v>0</v>
      </c>
      <c r="AA55" s="63">
        <f t="shared" si="1"/>
        <v>2038972.46</v>
      </c>
      <c r="AB55" s="58"/>
      <c r="AC55" s="59"/>
      <c r="AD55" s="59"/>
      <c r="AE55" s="43"/>
      <c r="AF55" s="43"/>
    </row>
    <row r="56" spans="2:34" ht="15" x14ac:dyDescent="0.25">
      <c r="B56" s="5">
        <v>43769</v>
      </c>
      <c r="C56" s="9">
        <f>2272471.32+630769.05</f>
        <v>2903240.37</v>
      </c>
      <c r="D56" s="9">
        <v>170603.11</v>
      </c>
      <c r="E56" s="9">
        <v>6121.33</v>
      </c>
      <c r="F56" s="6">
        <f t="shared" si="2"/>
        <v>3067722.15</v>
      </c>
      <c r="G56" s="56">
        <v>29927.68</v>
      </c>
      <c r="H56" s="56">
        <v>0</v>
      </c>
      <c r="I56" s="56">
        <v>35780.35</v>
      </c>
      <c r="J56" s="56"/>
      <c r="K56" s="56">
        <v>151903.67000000001</v>
      </c>
      <c r="L56" s="56">
        <v>343275.67</v>
      </c>
      <c r="M56" s="56"/>
      <c r="N56" s="56">
        <v>569978.21</v>
      </c>
      <c r="O56" s="56">
        <v>409323.8</v>
      </c>
      <c r="P56" s="56">
        <v>46867.23</v>
      </c>
      <c r="Q56" s="56">
        <v>0</v>
      </c>
      <c r="R56" s="56">
        <v>261889.24</v>
      </c>
      <c r="S56" s="56">
        <v>65188.57</v>
      </c>
      <c r="T56" s="56"/>
      <c r="U56" s="56"/>
      <c r="V56" s="56"/>
      <c r="W56" s="56">
        <v>57768.5</v>
      </c>
      <c r="X56" s="56">
        <v>0</v>
      </c>
      <c r="Y56" s="56">
        <v>0</v>
      </c>
      <c r="Z56" s="56">
        <v>0</v>
      </c>
      <c r="AA56" s="62">
        <f t="shared" si="1"/>
        <v>1971902.9200000002</v>
      </c>
      <c r="AC56" s="55"/>
      <c r="AD56" s="55"/>
      <c r="AE56" s="43"/>
      <c r="AF56" s="43"/>
      <c r="AH56" s="43"/>
    </row>
    <row r="57" spans="2:34" ht="14.45" x14ac:dyDescent="0.3">
      <c r="B57" s="5">
        <v>43799</v>
      </c>
      <c r="C57" s="9">
        <f>2435985.79+1333044.79</f>
        <v>3769030.58</v>
      </c>
      <c r="D57" s="9">
        <v>130066.77</v>
      </c>
      <c r="E57" s="9">
        <v>147815.97</v>
      </c>
      <c r="F57" s="6">
        <f t="shared" si="2"/>
        <v>3751281.38</v>
      </c>
      <c r="G57" s="9">
        <v>392703.29</v>
      </c>
      <c r="H57" s="9">
        <v>0</v>
      </c>
      <c r="I57" s="9">
        <v>38608.28</v>
      </c>
      <c r="J57" s="9">
        <v>0</v>
      </c>
      <c r="K57" s="9">
        <v>211874.31</v>
      </c>
      <c r="L57" s="9">
        <v>315985.12</v>
      </c>
      <c r="M57" s="9">
        <v>0</v>
      </c>
      <c r="N57" s="9">
        <v>684536.11</v>
      </c>
      <c r="O57" s="9">
        <v>214858.77</v>
      </c>
      <c r="P57" s="9">
        <v>574751.36</v>
      </c>
      <c r="Q57" s="9">
        <v>0</v>
      </c>
      <c r="R57" s="9">
        <v>157731.25</v>
      </c>
      <c r="S57" s="9">
        <v>0</v>
      </c>
      <c r="T57" s="9">
        <v>0</v>
      </c>
      <c r="U57" s="9">
        <v>0</v>
      </c>
      <c r="V57" s="9">
        <v>0</v>
      </c>
      <c r="W57" s="9">
        <v>46200</v>
      </c>
      <c r="X57" s="9">
        <v>0</v>
      </c>
      <c r="Y57" s="9">
        <v>0</v>
      </c>
      <c r="Z57" s="9">
        <v>0</v>
      </c>
      <c r="AA57" s="62">
        <f t="shared" si="1"/>
        <v>2637248.4899999998</v>
      </c>
      <c r="AC57" s="55"/>
      <c r="AD57" s="55"/>
      <c r="AE57" s="43"/>
      <c r="AF57" s="43"/>
    </row>
    <row r="58" spans="2:34" ht="14.45" x14ac:dyDescent="0.3">
      <c r="B58" s="5">
        <v>43830</v>
      </c>
      <c r="C58" s="9">
        <f>2247562.23+623855.05</f>
        <v>2871417.2800000003</v>
      </c>
      <c r="D58" s="9">
        <v>127824.06</v>
      </c>
      <c r="E58" s="9">
        <v>6584.54</v>
      </c>
      <c r="F58" s="6">
        <f t="shared" si="2"/>
        <v>2992656.8000000003</v>
      </c>
      <c r="G58" s="9">
        <v>1477487.77</v>
      </c>
      <c r="H58" s="9">
        <v>0</v>
      </c>
      <c r="I58" s="9">
        <v>47738.41</v>
      </c>
      <c r="J58" s="9">
        <v>0</v>
      </c>
      <c r="K58" s="9">
        <v>123781.16</v>
      </c>
      <c r="L58" s="9">
        <v>3947.51</v>
      </c>
      <c r="M58" s="9">
        <v>222949.96</v>
      </c>
      <c r="N58" s="9">
        <v>691074.85</v>
      </c>
      <c r="O58" s="9">
        <v>202479.12</v>
      </c>
      <c r="P58" s="9">
        <v>410171.73</v>
      </c>
      <c r="Q58" s="9">
        <v>76067.63</v>
      </c>
      <c r="R58" s="9">
        <v>663452.74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62">
        <f t="shared" si="1"/>
        <v>3919150.88</v>
      </c>
      <c r="AC58" s="55"/>
      <c r="AD58" s="55"/>
      <c r="AE58" s="43"/>
      <c r="AF58" s="43"/>
      <c r="AG58" s="43"/>
    </row>
    <row r="59" spans="2:34" ht="14.45" x14ac:dyDescent="0.3">
      <c r="B59" s="5">
        <v>43861</v>
      </c>
      <c r="C59" s="9">
        <f>2337308.07+648765.77</f>
        <v>2986073.84</v>
      </c>
      <c r="D59" s="9">
        <v>132551.93</v>
      </c>
      <c r="E59" s="9">
        <v>5138.72</v>
      </c>
      <c r="F59" s="6">
        <f t="shared" si="2"/>
        <v>3113487.05</v>
      </c>
      <c r="G59" s="9">
        <v>18843.36</v>
      </c>
      <c r="H59" s="9">
        <v>0</v>
      </c>
      <c r="I59" s="9">
        <v>41850.69</v>
      </c>
      <c r="J59" s="9">
        <v>0</v>
      </c>
      <c r="K59" s="9">
        <v>122151.84</v>
      </c>
      <c r="L59" s="9">
        <v>3346.39</v>
      </c>
      <c r="M59" s="9">
        <v>0</v>
      </c>
      <c r="N59" s="9">
        <v>698836.94</v>
      </c>
      <c r="O59" s="9">
        <v>158355.16</v>
      </c>
      <c r="P59" s="9">
        <v>0</v>
      </c>
      <c r="Q59" s="9">
        <v>0</v>
      </c>
      <c r="R59" s="9">
        <v>531894.19999999995</v>
      </c>
      <c r="S59" s="9">
        <v>143127.16</v>
      </c>
      <c r="T59" s="9">
        <v>94118.9</v>
      </c>
      <c r="U59" s="9">
        <v>0</v>
      </c>
      <c r="V59" s="9">
        <v>0</v>
      </c>
      <c r="W59" s="9">
        <v>92400</v>
      </c>
      <c r="X59" s="9">
        <v>0</v>
      </c>
      <c r="Y59" s="9">
        <v>0</v>
      </c>
      <c r="Z59" s="9">
        <v>0</v>
      </c>
      <c r="AA59" s="62">
        <f t="shared" si="1"/>
        <v>1904924.64</v>
      </c>
      <c r="AC59" s="55"/>
      <c r="AD59" s="55"/>
      <c r="AE59" s="43"/>
    </row>
    <row r="60" spans="2:34" ht="14.45" x14ac:dyDescent="0.3">
      <c r="B60" s="5">
        <v>43890</v>
      </c>
      <c r="C60" s="9">
        <f>2209216.36+305801.84</f>
        <v>2515018.1999999997</v>
      </c>
      <c r="D60" s="9">
        <v>98180.02</v>
      </c>
      <c r="E60" s="9">
        <v>5455.48</v>
      </c>
      <c r="F60" s="6">
        <f t="shared" si="2"/>
        <v>2607742.7399999998</v>
      </c>
      <c r="G60" s="9">
        <v>334978.68</v>
      </c>
      <c r="H60" s="9">
        <v>0</v>
      </c>
      <c r="I60" s="9">
        <v>46357.32</v>
      </c>
      <c r="J60" s="9">
        <v>0</v>
      </c>
      <c r="K60" s="9">
        <v>65432.09</v>
      </c>
      <c r="L60" s="9">
        <v>3034.71</v>
      </c>
      <c r="M60" s="9">
        <v>0</v>
      </c>
      <c r="N60" s="9">
        <v>687768.14</v>
      </c>
      <c r="O60" s="9">
        <v>209241.52</v>
      </c>
      <c r="P60" s="9">
        <v>0</v>
      </c>
      <c r="Q60" s="9">
        <v>212235.82</v>
      </c>
      <c r="R60" s="9">
        <v>322642.59999999998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62">
        <f t="shared" si="1"/>
        <v>1881690.88</v>
      </c>
      <c r="AC60" s="55"/>
      <c r="AD60" s="55"/>
      <c r="AE60" s="43"/>
    </row>
    <row r="61" spans="2:34" ht="14.45" x14ac:dyDescent="0.3">
      <c r="B61" s="5">
        <v>43921</v>
      </c>
      <c r="C61" s="9">
        <v>2600415.48</v>
      </c>
      <c r="D61" s="9">
        <v>92266.61</v>
      </c>
      <c r="E61" s="9">
        <v>11386.97</v>
      </c>
      <c r="F61" s="6">
        <f t="shared" si="2"/>
        <v>2681295.1199999996</v>
      </c>
      <c r="G61" s="9">
        <v>1035530.15</v>
      </c>
      <c r="H61" s="9">
        <v>1320093.4099999999</v>
      </c>
      <c r="I61" s="9">
        <v>57526</v>
      </c>
      <c r="J61" s="9">
        <v>0</v>
      </c>
      <c r="K61" s="9">
        <v>80434.8</v>
      </c>
      <c r="L61" s="9">
        <v>3034.71</v>
      </c>
      <c r="M61" s="9">
        <v>0</v>
      </c>
      <c r="N61" s="9">
        <v>672183.17</v>
      </c>
      <c r="O61" s="9">
        <v>105641.61</v>
      </c>
      <c r="P61" s="9">
        <v>24978.92</v>
      </c>
      <c r="Q61" s="9">
        <v>47288.12</v>
      </c>
      <c r="R61" s="9">
        <v>321874.67</v>
      </c>
      <c r="S61" s="9">
        <v>0</v>
      </c>
      <c r="T61" s="9">
        <v>29100</v>
      </c>
      <c r="U61" s="9">
        <v>0</v>
      </c>
      <c r="V61" s="9">
        <v>0</v>
      </c>
      <c r="W61" s="9">
        <v>4844.63</v>
      </c>
      <c r="X61" s="9">
        <v>0</v>
      </c>
      <c r="Y61" s="9">
        <v>0</v>
      </c>
      <c r="Z61" s="9">
        <v>44</v>
      </c>
      <c r="AA61" s="62">
        <f t="shared" si="1"/>
        <v>3702574.1899999995</v>
      </c>
      <c r="AC61" s="55"/>
      <c r="AD61" s="55"/>
      <c r="AE61" s="43"/>
    </row>
    <row r="62" spans="2:34" ht="14.45" x14ac:dyDescent="0.3">
      <c r="B62" s="5">
        <v>43951</v>
      </c>
      <c r="C62" s="9">
        <v>1421700.5938356</v>
      </c>
      <c r="D62" s="9">
        <v>44488.23</v>
      </c>
      <c r="E62" s="9">
        <v>0</v>
      </c>
      <c r="F62" s="6">
        <f t="shared" si="2"/>
        <v>1466188.8238355999</v>
      </c>
      <c r="G62" s="9">
        <v>1119549.57</v>
      </c>
      <c r="H62" s="9">
        <v>0</v>
      </c>
      <c r="I62" s="9">
        <v>45633.16</v>
      </c>
      <c r="J62" s="9">
        <v>0</v>
      </c>
      <c r="K62" s="9">
        <v>23334.71</v>
      </c>
      <c r="L62" s="9">
        <v>2944.82</v>
      </c>
      <c r="M62" s="9">
        <v>0</v>
      </c>
      <c r="N62" s="9">
        <v>712792.02</v>
      </c>
      <c r="O62" s="9">
        <v>147653.88</v>
      </c>
      <c r="P62" s="9">
        <v>71751.47</v>
      </c>
      <c r="Q62" s="9">
        <v>252577.98</v>
      </c>
      <c r="R62" s="9">
        <v>147171.62</v>
      </c>
      <c r="S62" s="9">
        <v>0</v>
      </c>
      <c r="T62" s="9">
        <v>34051.300000000003</v>
      </c>
      <c r="U62" s="9">
        <v>0</v>
      </c>
      <c r="V62" s="9">
        <v>0</v>
      </c>
      <c r="W62" s="9"/>
      <c r="X62" s="9">
        <v>0</v>
      </c>
      <c r="Y62" s="9">
        <v>0</v>
      </c>
      <c r="Z62" s="9">
        <v>46</v>
      </c>
      <c r="AA62" s="62">
        <f t="shared" si="1"/>
        <v>2557506.5300000003</v>
      </c>
      <c r="AC62" s="55"/>
      <c r="AD62" s="55"/>
      <c r="AE62" s="43"/>
    </row>
    <row r="63" spans="2:34" ht="14.45" x14ac:dyDescent="0.3">
      <c r="B63" s="5">
        <v>43982</v>
      </c>
      <c r="C63" s="9">
        <v>1370474.0655395</v>
      </c>
      <c r="D63" s="9">
        <v>85275.46</v>
      </c>
      <c r="E63" s="9">
        <v>78650.600000000006</v>
      </c>
      <c r="F63" s="6">
        <f t="shared" si="2"/>
        <v>1377098.9255394998</v>
      </c>
      <c r="G63" s="9">
        <v>0</v>
      </c>
      <c r="H63" s="9">
        <v>45592</v>
      </c>
      <c r="I63" s="9">
        <v>48044.26</v>
      </c>
      <c r="J63" s="9">
        <v>0</v>
      </c>
      <c r="K63" s="9">
        <v>73263.600000000006</v>
      </c>
      <c r="L63" s="9">
        <v>3017.8</v>
      </c>
      <c r="M63" s="9">
        <v>0</v>
      </c>
      <c r="N63" s="9">
        <v>726396.23</v>
      </c>
      <c r="O63" s="9">
        <v>682759.71</v>
      </c>
      <c r="P63" s="9">
        <v>97422.080000000002</v>
      </c>
      <c r="Q63" s="9">
        <v>98454.84</v>
      </c>
      <c r="R63" s="9">
        <v>336163.68</v>
      </c>
      <c r="S63" s="9">
        <v>0</v>
      </c>
      <c r="T63" s="9">
        <v>19501.3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43</v>
      </c>
      <c r="AA63" s="62">
        <f t="shared" si="1"/>
        <v>2130658.5</v>
      </c>
      <c r="AC63" s="55"/>
      <c r="AD63" s="55"/>
      <c r="AE63" s="43"/>
    </row>
    <row r="64" spans="2:34" ht="14.45" x14ac:dyDescent="0.3">
      <c r="B64" s="5">
        <v>44012</v>
      </c>
      <c r="C64" s="9">
        <v>1360675.4699245999</v>
      </c>
      <c r="D64" s="9">
        <v>55279.45</v>
      </c>
      <c r="E64" s="9">
        <v>0</v>
      </c>
      <c r="F64" s="6">
        <f t="shared" si="2"/>
        <v>1415954.9199245998</v>
      </c>
      <c r="G64" s="9">
        <v>1055833.57</v>
      </c>
      <c r="H64" s="9">
        <v>0</v>
      </c>
      <c r="I64" s="9">
        <v>49689.94</v>
      </c>
      <c r="J64" s="9">
        <v>0</v>
      </c>
      <c r="K64" s="9">
        <v>208545.83</v>
      </c>
      <c r="L64" s="9">
        <v>2967.47</v>
      </c>
      <c r="M64" s="9">
        <v>0</v>
      </c>
      <c r="N64" s="9">
        <v>727753.2</v>
      </c>
      <c r="O64" s="9">
        <v>484713.31</v>
      </c>
      <c r="P64" s="9">
        <v>0</v>
      </c>
      <c r="Q64" s="9">
        <v>106908.48</v>
      </c>
      <c r="R64" s="9">
        <v>298727.46000000002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86.5</v>
      </c>
      <c r="AA64" s="62">
        <f t="shared" ref="AA64:AA72" si="3">SUM(G64:Z64)</f>
        <v>2935225.76</v>
      </c>
      <c r="AC64" s="55"/>
      <c r="AD64" s="55"/>
      <c r="AE64" s="43"/>
    </row>
    <row r="65" spans="2:32" ht="14.45" x14ac:dyDescent="0.3">
      <c r="B65" s="5">
        <v>44043</v>
      </c>
      <c r="C65" s="9">
        <v>1400803.51</v>
      </c>
      <c r="D65" s="9">
        <v>39126.01</v>
      </c>
      <c r="E65" s="9">
        <v>0</v>
      </c>
      <c r="F65" s="6">
        <f t="shared" si="2"/>
        <v>1439929.52</v>
      </c>
      <c r="G65" s="9">
        <v>0</v>
      </c>
      <c r="H65" s="9">
        <v>0</v>
      </c>
      <c r="I65" s="9">
        <v>39050.980000000003</v>
      </c>
      <c r="J65" s="9">
        <v>0</v>
      </c>
      <c r="K65" s="9">
        <v>383090.35</v>
      </c>
      <c r="L65" s="9">
        <v>2972.36</v>
      </c>
      <c r="M65" s="9">
        <v>0</v>
      </c>
      <c r="N65" s="9">
        <v>712565.55</v>
      </c>
      <c r="O65" s="9">
        <v>154110.65</v>
      </c>
      <c r="P65" s="9">
        <v>173332.5</v>
      </c>
      <c r="Q65" s="9">
        <v>192330.4</v>
      </c>
      <c r="R65" s="9">
        <v>675936.24</v>
      </c>
      <c r="S65" s="9">
        <v>0</v>
      </c>
      <c r="T65" s="9">
        <v>0</v>
      </c>
      <c r="U65" s="9">
        <v>23114.14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62">
        <f t="shared" si="3"/>
        <v>2356503.17</v>
      </c>
      <c r="AC65" s="55"/>
      <c r="AD65" s="55"/>
      <c r="AE65" s="43"/>
    </row>
    <row r="66" spans="2:32" ht="14.45" x14ac:dyDescent="0.3">
      <c r="B66" s="5">
        <v>44074</v>
      </c>
      <c r="C66" s="9">
        <v>1422253.17</v>
      </c>
      <c r="D66" s="9">
        <v>16673.23</v>
      </c>
      <c r="E66" s="9">
        <v>557.22</v>
      </c>
      <c r="F66" s="6">
        <f t="shared" si="2"/>
        <v>1438369.18</v>
      </c>
      <c r="G66" s="9">
        <v>166923.35</v>
      </c>
      <c r="H66" s="9">
        <v>0</v>
      </c>
      <c r="I66" s="9">
        <v>38508.43</v>
      </c>
      <c r="J66" s="9">
        <v>0</v>
      </c>
      <c r="K66" s="9">
        <v>168456.61</v>
      </c>
      <c r="L66" s="9">
        <v>2964.21</v>
      </c>
      <c r="M66" s="9">
        <v>0</v>
      </c>
      <c r="N66" s="9">
        <v>719791.86</v>
      </c>
      <c r="O66" s="9">
        <v>159669.81</v>
      </c>
      <c r="P66" s="9">
        <v>355708.54</v>
      </c>
      <c r="Q66" s="9">
        <v>993.78</v>
      </c>
      <c r="R66" s="9">
        <v>853.88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59795.31</v>
      </c>
      <c r="Z66" s="9"/>
      <c r="AA66" s="62">
        <f t="shared" si="3"/>
        <v>1673665.78</v>
      </c>
      <c r="AC66" s="55"/>
      <c r="AD66" s="55"/>
      <c r="AE66" s="43"/>
    </row>
    <row r="67" spans="2:32" ht="15" x14ac:dyDescent="0.25">
      <c r="B67" s="5">
        <v>44104</v>
      </c>
      <c r="C67" s="9">
        <v>1494950.27</v>
      </c>
      <c r="D67" s="9">
        <v>-163186.60999999999</v>
      </c>
      <c r="E67" s="9">
        <v>37.08</v>
      </c>
      <c r="F67" s="6">
        <f t="shared" ref="F67" si="4">C67+D67-E67</f>
        <v>1331726.58</v>
      </c>
      <c r="G67" s="56">
        <v>600970.84</v>
      </c>
      <c r="H67" s="56">
        <v>0</v>
      </c>
      <c r="I67" s="56">
        <v>31995.39</v>
      </c>
      <c r="J67" s="56">
        <v>0</v>
      </c>
      <c r="K67" s="56">
        <v>190968.36</v>
      </c>
      <c r="L67" s="56">
        <v>3034.71</v>
      </c>
      <c r="M67" s="56">
        <v>3300</v>
      </c>
      <c r="N67" s="56">
        <v>731497.94</v>
      </c>
      <c r="O67" s="56">
        <v>332992.64000000001</v>
      </c>
      <c r="P67" s="56">
        <v>242983.11</v>
      </c>
      <c r="Q67" s="56">
        <v>542452.04</v>
      </c>
      <c r="R67" s="56">
        <v>1522853.75</v>
      </c>
      <c r="S67" s="56">
        <v>0</v>
      </c>
      <c r="T67" s="56">
        <v>0</v>
      </c>
      <c r="U67" s="56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62">
        <f t="shared" si="3"/>
        <v>4203048.7799999993</v>
      </c>
      <c r="AC67" s="55"/>
      <c r="AD67" s="55"/>
      <c r="AE67" s="43"/>
      <c r="AF67" s="43"/>
    </row>
    <row r="68" spans="2:32" ht="15" x14ac:dyDescent="0.25">
      <c r="B68" s="5">
        <v>44135</v>
      </c>
      <c r="C68" s="9">
        <v>1489522.33</v>
      </c>
      <c r="D68" s="9">
        <v>-26056.73</v>
      </c>
      <c r="E68" s="9">
        <v>0</v>
      </c>
      <c r="F68" s="6">
        <f t="shared" si="2"/>
        <v>1463465.6</v>
      </c>
      <c r="G68" s="56">
        <v>9421.68</v>
      </c>
      <c r="H68" s="56">
        <v>0</v>
      </c>
      <c r="I68" s="56">
        <v>30039.22</v>
      </c>
      <c r="J68" s="56">
        <v>0</v>
      </c>
      <c r="K68" s="56">
        <v>166751.94</v>
      </c>
      <c r="L68" s="56">
        <v>3034.71</v>
      </c>
      <c r="M68" s="56">
        <v>0</v>
      </c>
      <c r="N68" s="56">
        <v>630666.06999999995</v>
      </c>
      <c r="O68" s="56">
        <v>225329.63</v>
      </c>
      <c r="P68" s="56">
        <v>26811.62</v>
      </c>
      <c r="Q68" s="56">
        <v>16977.759999999998</v>
      </c>
      <c r="R68" s="56">
        <v>1288.92</v>
      </c>
      <c r="S68" s="56">
        <v>0</v>
      </c>
      <c r="T68" s="56">
        <v>0</v>
      </c>
      <c r="U68" s="56">
        <v>0</v>
      </c>
      <c r="V68" s="56">
        <v>0</v>
      </c>
      <c r="W68" s="56">
        <v>0</v>
      </c>
      <c r="X68" s="56">
        <v>0</v>
      </c>
      <c r="Y68" s="56">
        <v>1520310.02</v>
      </c>
      <c r="Z68" s="56">
        <v>0</v>
      </c>
      <c r="AA68" s="62">
        <f t="shared" si="3"/>
        <v>2630631.5700000003</v>
      </c>
      <c r="AC68" s="55"/>
      <c r="AD68" s="55"/>
      <c r="AE68" s="43"/>
      <c r="AF68" s="43"/>
    </row>
    <row r="69" spans="2:32" ht="14.45" x14ac:dyDescent="0.3">
      <c r="B69" s="5">
        <v>44165</v>
      </c>
      <c r="C69" s="9">
        <v>1464372.12</v>
      </c>
      <c r="D69" s="9">
        <v>1183.18</v>
      </c>
      <c r="E69" s="9">
        <v>0</v>
      </c>
      <c r="F69" s="6">
        <f t="shared" si="2"/>
        <v>1465555.3</v>
      </c>
      <c r="G69" s="9">
        <v>342037.11</v>
      </c>
      <c r="H69" s="9">
        <v>0</v>
      </c>
      <c r="I69" s="9">
        <v>33951.550000000003</v>
      </c>
      <c r="J69" s="9">
        <v>0</v>
      </c>
      <c r="K69" s="9">
        <v>107794.28</v>
      </c>
      <c r="L69" s="9">
        <v>3034.71</v>
      </c>
      <c r="M69" s="9">
        <v>0</v>
      </c>
      <c r="N69" s="9">
        <v>672294.66</v>
      </c>
      <c r="O69" s="9">
        <v>274681.65999999997</v>
      </c>
      <c r="P69" s="9">
        <v>0</v>
      </c>
      <c r="Q69" s="9">
        <v>5348.25</v>
      </c>
      <c r="R69" s="9">
        <v>5.63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667826.15</v>
      </c>
      <c r="Z69" s="9">
        <v>0</v>
      </c>
      <c r="AA69" s="62">
        <f t="shared" si="3"/>
        <v>2106974</v>
      </c>
      <c r="AC69" s="55"/>
      <c r="AD69" s="55"/>
      <c r="AE69" s="43"/>
      <c r="AF69" s="43"/>
    </row>
    <row r="70" spans="2:32" ht="14.45" x14ac:dyDescent="0.3">
      <c r="B70" s="5">
        <v>44196</v>
      </c>
      <c r="C70" s="9">
        <v>1380671.82</v>
      </c>
      <c r="D70" s="9">
        <v>84741.66</v>
      </c>
      <c r="E70" s="9">
        <v>0</v>
      </c>
      <c r="F70" s="6">
        <f t="shared" si="2"/>
        <v>1465413.48</v>
      </c>
      <c r="G70" s="9">
        <v>118047.15</v>
      </c>
      <c r="H70" s="9">
        <v>0</v>
      </c>
      <c r="I70" s="9">
        <v>33951.550000000003</v>
      </c>
      <c r="J70" s="9">
        <v>0</v>
      </c>
      <c r="K70" s="9">
        <v>3470.42</v>
      </c>
      <c r="L70" s="9">
        <v>3034.71</v>
      </c>
      <c r="M70" s="9">
        <v>0</v>
      </c>
      <c r="N70" s="9">
        <v>667751.88</v>
      </c>
      <c r="O70" s="9">
        <v>605277.81000000006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498919.33</v>
      </c>
      <c r="Z70" s="9">
        <v>0</v>
      </c>
      <c r="AA70" s="62">
        <f t="shared" si="3"/>
        <v>1930452.85</v>
      </c>
      <c r="AC70" s="55"/>
      <c r="AD70" s="55"/>
      <c r="AE70" s="43"/>
      <c r="AF70" s="43"/>
    </row>
    <row r="71" spans="2:32" ht="14.45" x14ac:dyDescent="0.3">
      <c r="B71" s="5">
        <v>44227</v>
      </c>
      <c r="C71" s="9">
        <v>1482896.68</v>
      </c>
      <c r="D71" s="9">
        <v>50153.53</v>
      </c>
      <c r="E71" s="9"/>
      <c r="F71" s="6">
        <f t="shared" si="2"/>
        <v>1533050.21</v>
      </c>
      <c r="G71" s="9">
        <v>14824.51</v>
      </c>
      <c r="H71" s="9">
        <v>0</v>
      </c>
      <c r="I71" s="9">
        <v>30039.22</v>
      </c>
      <c r="J71" s="9">
        <v>0</v>
      </c>
      <c r="K71" s="9">
        <v>883.74</v>
      </c>
      <c r="L71" s="9">
        <v>3034.71</v>
      </c>
      <c r="M71" s="9">
        <v>0</v>
      </c>
      <c r="N71" s="9">
        <v>664219.59</v>
      </c>
      <c r="O71" s="9">
        <v>194678.91</v>
      </c>
      <c r="P71" s="9">
        <v>112075.34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415244.08</v>
      </c>
      <c r="Z71" s="9">
        <v>0</v>
      </c>
      <c r="AA71" s="62">
        <f t="shared" si="3"/>
        <v>1435000.1</v>
      </c>
      <c r="AC71" s="55"/>
      <c r="AD71" s="55"/>
      <c r="AE71" s="43"/>
      <c r="AF71" s="43"/>
    </row>
    <row r="72" spans="2:32" ht="14.45" x14ac:dyDescent="0.3">
      <c r="B72" s="5">
        <v>44255</v>
      </c>
      <c r="C72" s="9">
        <v>1444900.62</v>
      </c>
      <c r="D72" s="9">
        <v>-8963.43</v>
      </c>
      <c r="E72" s="9"/>
      <c r="F72" s="6">
        <f t="shared" si="2"/>
        <v>1435937.1900000002</v>
      </c>
      <c r="G72" s="9">
        <v>9421.68</v>
      </c>
      <c r="H72" s="9">
        <v>0</v>
      </c>
      <c r="I72" s="9">
        <v>28083.07</v>
      </c>
      <c r="J72" s="9">
        <v>0</v>
      </c>
      <c r="K72" s="9">
        <v>3469.3</v>
      </c>
      <c r="L72" s="9">
        <v>6069.43</v>
      </c>
      <c r="M72" s="9">
        <v>0</v>
      </c>
      <c r="N72" s="9">
        <v>682706.96</v>
      </c>
      <c r="O72" s="9">
        <v>245475.57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62">
        <f t="shared" si="3"/>
        <v>975226.01</v>
      </c>
      <c r="AC72" s="55"/>
      <c r="AD72" s="55"/>
      <c r="AE72" s="43"/>
      <c r="AF72" s="43"/>
    </row>
    <row r="73" spans="2:32" ht="14.45" x14ac:dyDescent="0.3">
      <c r="B73" s="5">
        <v>44286</v>
      </c>
      <c r="C73" s="9">
        <v>1414931.71</v>
      </c>
      <c r="D73" s="9">
        <v>28825.65</v>
      </c>
      <c r="E73" s="9"/>
      <c r="F73" s="6">
        <f t="shared" si="2"/>
        <v>1443757.3599999999</v>
      </c>
      <c r="G73" s="9">
        <v>80013.570000000007</v>
      </c>
      <c r="H73" s="9">
        <v>0</v>
      </c>
      <c r="I73" s="9">
        <v>27576.39</v>
      </c>
      <c r="J73" s="9">
        <v>0</v>
      </c>
      <c r="K73" s="9">
        <v>10507.12</v>
      </c>
      <c r="L73" s="9">
        <v>5959.92</v>
      </c>
      <c r="M73" s="9">
        <v>0</v>
      </c>
      <c r="N73" s="9">
        <v>707627.38</v>
      </c>
      <c r="O73" s="9">
        <v>243454.91</v>
      </c>
      <c r="P73" s="9">
        <v>294846.74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62">
        <f>SUM(G73:Z73)</f>
        <v>1369986.03</v>
      </c>
      <c r="AC73" s="55"/>
      <c r="AD73" s="55"/>
      <c r="AE73" s="43"/>
      <c r="AF73" s="43"/>
    </row>
    <row r="74" spans="2:32" ht="14.45" x14ac:dyDescent="0.3">
      <c r="B74" s="5">
        <v>44316</v>
      </c>
      <c r="C74" s="9">
        <v>0</v>
      </c>
      <c r="D74" s="9">
        <v>21046.41</v>
      </c>
      <c r="E74" s="9">
        <v>62.83</v>
      </c>
      <c r="F74" s="6">
        <f t="shared" si="2"/>
        <v>20983.579999999998</v>
      </c>
      <c r="G74" s="9">
        <v>29877.19</v>
      </c>
      <c r="H74" s="9">
        <v>0</v>
      </c>
      <c r="I74" s="9">
        <v>22274.51</v>
      </c>
      <c r="J74" s="9">
        <v>0</v>
      </c>
      <c r="K74" s="9">
        <v>11820</v>
      </c>
      <c r="L74" s="9">
        <v>5593.26</v>
      </c>
      <c r="M74" s="9">
        <v>0</v>
      </c>
      <c r="N74" s="9">
        <v>717584.03</v>
      </c>
      <c r="O74" s="9">
        <v>251126.55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349876.41</v>
      </c>
      <c r="Z74" s="9">
        <v>0</v>
      </c>
      <c r="AA74" s="62">
        <f>SUM(G74:Z74)</f>
        <v>1388151.95</v>
      </c>
      <c r="AC74" s="55"/>
      <c r="AD74" s="55"/>
      <c r="AE74" s="43"/>
      <c r="AF74" s="43"/>
    </row>
    <row r="75" spans="2:32" ht="14.45" x14ac:dyDescent="0.3">
      <c r="B75" s="5"/>
      <c r="C75" s="9"/>
      <c r="D75" s="9"/>
      <c r="E75" s="9"/>
      <c r="F75" s="6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62"/>
      <c r="AD75" s="55"/>
      <c r="AF75" s="43"/>
    </row>
    <row r="76" spans="2:32" ht="14.45" x14ac:dyDescent="0.3">
      <c r="B76" s="13" t="s">
        <v>35</v>
      </c>
      <c r="C76" s="14">
        <f t="shared" ref="C76:V76" si="5">SUM(C14:C75)</f>
        <v>149566059.77929977</v>
      </c>
      <c r="D76" s="14">
        <f t="shared" si="5"/>
        <v>5675769.6099999994</v>
      </c>
      <c r="E76" s="14">
        <f t="shared" si="5"/>
        <v>1007776.3299999997</v>
      </c>
      <c r="F76" s="14">
        <f t="shared" si="5"/>
        <v>154234053.05929971</v>
      </c>
      <c r="G76" s="14">
        <f t="shared" si="5"/>
        <v>10235472.029999999</v>
      </c>
      <c r="H76" s="14">
        <f t="shared" si="5"/>
        <v>11240081.230000002</v>
      </c>
      <c r="I76" s="14">
        <f>SUM(I14:I75)</f>
        <v>6649092.049999998</v>
      </c>
      <c r="J76" s="14">
        <f t="shared" si="5"/>
        <v>0</v>
      </c>
      <c r="K76" s="14">
        <f t="shared" si="5"/>
        <v>8495975.3199999984</v>
      </c>
      <c r="L76" s="14">
        <f>SUM(L14:L75)</f>
        <v>9805326.8500000052</v>
      </c>
      <c r="M76" s="14">
        <f t="shared" si="5"/>
        <v>677480.94</v>
      </c>
      <c r="N76" s="14">
        <f t="shared" si="5"/>
        <v>34148773.690000005</v>
      </c>
      <c r="O76" s="14">
        <f t="shared" si="5"/>
        <v>7940327.2199999997</v>
      </c>
      <c r="P76" s="14">
        <f t="shared" si="5"/>
        <v>4078422.9699999997</v>
      </c>
      <c r="Q76" s="14">
        <f t="shared" si="5"/>
        <v>1551635.1</v>
      </c>
      <c r="R76" s="14">
        <f t="shared" si="5"/>
        <v>5242485.88</v>
      </c>
      <c r="S76" s="14">
        <f>SUM(S14:S75)</f>
        <v>1290158.3299999998</v>
      </c>
      <c r="T76" s="14">
        <f t="shared" si="5"/>
        <v>2743763.1799999997</v>
      </c>
      <c r="U76" s="14">
        <f t="shared" si="5"/>
        <v>97020.34</v>
      </c>
      <c r="V76" s="14">
        <f t="shared" si="5"/>
        <v>13000</v>
      </c>
      <c r="W76" s="49">
        <f>SUM(W14:W75)</f>
        <v>390213.13</v>
      </c>
      <c r="X76" s="14">
        <f>SUM(X14:X75)</f>
        <v>2964</v>
      </c>
      <c r="Y76" s="14">
        <f>SUM(Y14:Y75)</f>
        <v>3511971.3000000003</v>
      </c>
      <c r="Z76" s="14">
        <f>SUM(Z14:Z75)</f>
        <v>158185.63</v>
      </c>
      <c r="AA76" s="64">
        <f>SUM(AA14:AA75)</f>
        <v>108272349.19</v>
      </c>
      <c r="AD76" s="55"/>
    </row>
    <row r="77" spans="2:32" ht="10.15" x14ac:dyDescent="0.2">
      <c r="I77" s="47"/>
      <c r="L77" s="39"/>
      <c r="S77" s="47"/>
      <c r="T77" s="47"/>
      <c r="U77" s="47"/>
      <c r="V77" s="47"/>
      <c r="W77" s="47"/>
      <c r="X77" s="47"/>
      <c r="Y77" s="47"/>
      <c r="Z77" s="47"/>
      <c r="AA77" s="65"/>
      <c r="AD77" s="55"/>
    </row>
    <row r="78" spans="2:32" ht="10.15" x14ac:dyDescent="0.2">
      <c r="B78" s="25" t="s">
        <v>23</v>
      </c>
      <c r="E78" s="38"/>
      <c r="N78" s="43"/>
      <c r="AD78" s="55"/>
    </row>
    <row r="79" spans="2:32" x14ac:dyDescent="0.2">
      <c r="B79" s="26" t="s">
        <v>58</v>
      </c>
      <c r="N79" s="43"/>
      <c r="AA79" s="66"/>
      <c r="AD79" s="55"/>
    </row>
    <row r="80" spans="2:32" x14ac:dyDescent="0.2">
      <c r="B80" s="26" t="s">
        <v>57</v>
      </c>
      <c r="N80" s="43"/>
      <c r="AA80" s="65"/>
      <c r="AD80" s="55"/>
    </row>
    <row r="81" spans="2:30" x14ac:dyDescent="0.2">
      <c r="B81" s="26" t="s">
        <v>60</v>
      </c>
      <c r="AD81" s="55"/>
    </row>
    <row r="82" spans="2:30" x14ac:dyDescent="0.2">
      <c r="AD82" s="55"/>
    </row>
    <row r="83" spans="2:30" x14ac:dyDescent="0.2">
      <c r="G83" s="53" t="s">
        <v>74</v>
      </c>
      <c r="H83" s="54" t="s">
        <v>75</v>
      </c>
      <c r="I83" s="54" t="s">
        <v>76</v>
      </c>
      <c r="J83" s="54" t="s">
        <v>77</v>
      </c>
      <c r="K83" s="54" t="s">
        <v>78</v>
      </c>
      <c r="L83" s="54" t="s">
        <v>79</v>
      </c>
      <c r="M83" s="54" t="s">
        <v>80</v>
      </c>
      <c r="N83" s="54" t="s">
        <v>81</v>
      </c>
      <c r="O83" s="54" t="s">
        <v>82</v>
      </c>
      <c r="P83" s="54" t="s">
        <v>83</v>
      </c>
      <c r="Q83" s="54" t="s">
        <v>84</v>
      </c>
      <c r="R83" s="54" t="s">
        <v>85</v>
      </c>
      <c r="S83" s="54" t="s">
        <v>86</v>
      </c>
      <c r="T83" s="52" t="s">
        <v>62</v>
      </c>
      <c r="U83" s="52" t="s">
        <v>87</v>
      </c>
      <c r="V83" s="52" t="s">
        <v>65</v>
      </c>
      <c r="W83" s="52" t="s">
        <v>66</v>
      </c>
      <c r="X83" s="52" t="s">
        <v>67</v>
      </c>
      <c r="Y83" s="52" t="str">
        <f>Y13</f>
        <v>Adutora São Pedro</v>
      </c>
      <c r="Z83" s="52" t="s">
        <v>68</v>
      </c>
      <c r="AA83" s="67" t="s">
        <v>35</v>
      </c>
      <c r="AD83" s="55"/>
    </row>
    <row r="84" spans="2:30" ht="10.15" x14ac:dyDescent="0.2">
      <c r="G84" s="68" t="s">
        <v>90</v>
      </c>
      <c r="H84" s="68" t="s">
        <v>91</v>
      </c>
      <c r="K84" s="38"/>
      <c r="L84" s="38"/>
      <c r="M84" s="38"/>
      <c r="N84" s="38"/>
      <c r="O84" s="38"/>
      <c r="P84" s="38"/>
      <c r="AA84" s="65"/>
      <c r="AD84" s="55"/>
    </row>
    <row r="85" spans="2:30" ht="10.15" x14ac:dyDescent="0.2">
      <c r="AA85" s="65"/>
      <c r="AD85" s="55"/>
    </row>
  </sheetData>
  <mergeCells count="5">
    <mergeCell ref="B12:B13"/>
    <mergeCell ref="H12:AA12"/>
    <mergeCell ref="B2:AA3"/>
    <mergeCell ref="C12:F12"/>
    <mergeCell ref="B11:AA11"/>
  </mergeCell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TarifaSocial</vt:lpstr>
      <vt:lpstr>Mananciais</vt:lpstr>
      <vt:lpstr>Treinamento</vt:lpstr>
      <vt:lpstr>Manutenção</vt:lpstr>
      <vt:lpstr>Perdas</vt:lpstr>
      <vt:lpstr>InvestimentoIncentivado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Robson RD. Dutra</cp:lastModifiedBy>
  <cp:lastPrinted>2020-09-24T12:05:11Z</cp:lastPrinted>
  <dcterms:created xsi:type="dcterms:W3CDTF">2016-07-11T19:56:35Z</dcterms:created>
  <dcterms:modified xsi:type="dcterms:W3CDTF">2021-05-20T13:49:19Z</dcterms:modified>
</cp:coreProperties>
</file>